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F:\Excel ORI PROGRAMMAS\"/>
    </mc:Choice>
  </mc:AlternateContent>
  <xr:revisionPtr revIDLastSave="0" documentId="8_{1DC5550C-D45B-44A2-93DF-ECCD68995323}" xr6:coauthVersionLast="47" xr6:coauthVersionMax="47" xr10:uidLastSave="{00000000-0000-0000-0000-000000000000}"/>
  <workbookProtection workbookAlgorithmName="SHA-512" workbookHashValue="PyLP4FWGumf9aXeS5/+le/h7nwoaBEjt4FaHH1O5zbEhbOIUJgkPp4wcl9oLZe2+CFGJSPFXrQ8UE8rqfTSpzA==" workbookSaltValue="4x27rCy6E/DJE5AeQvk8MA==" workbookSpinCount="100000" lockStructure="1"/>
  <bookViews>
    <workbookView xWindow="28384" yWindow="-119" windowWidth="28741" windowHeight="15543" tabRatio="749" xr2:uid="{00000000-000D-0000-FFFF-FFFF00000000}"/>
  </bookViews>
  <sheets>
    <sheet name="START" sheetId="9" r:id="rId1"/>
    <sheet name="STAP 1 - BESTELGEGEVENS" sheetId="16" r:id="rId2"/>
    <sheet name="STAP 2 - BESTELKEUZE" sheetId="29" r:id="rId3"/>
    <sheet name="CATERINGBESTELLING" sheetId="24" r:id="rId4"/>
    <sheet name="BBQ-GOURMET BESTELLING" sheetId="27" r:id="rId5"/>
    <sheet name="OVERIG" sheetId="61" r:id="rId6"/>
    <sheet name="VERSTUREN" sheetId="30" r:id="rId7"/>
    <sheet name="PRIJZEN" sheetId="65" state="hidden" r:id="rId8"/>
  </sheets>
  <externalReferences>
    <externalReference r:id="rId9"/>
  </externalReferences>
  <definedNames>
    <definedName name="Aantalpersonen">'BBQ-GOURMET BESTELLING'!$X$1:$X$165</definedName>
    <definedName name="AANTALSTUKS" localSheetId="5">'BBQ-GOURMET BESTELLING'!#REF!</definedName>
    <definedName name="AANTALSTUKS" localSheetId="2">'BBQ-GOURMET BESTELLING'!#REF!</definedName>
    <definedName name="AANTALSTUKS" localSheetId="6">'BBQ-GOURMET BESTELLING'!#REF!</definedName>
    <definedName name="AANTALSTUKS">'BBQ-GOURMET BESTELLING'!#REF!</definedName>
    <definedName name="_xlnm.Print_Area" localSheetId="4">'BBQ-GOURMET BESTELLING'!$P$173:$T$200</definedName>
    <definedName name="_xlnm.Print_Area" localSheetId="3">CATERINGBESTELLING!$B$3:$O$264</definedName>
    <definedName name="_xlnm.Print_Area" localSheetId="5">OVERIG!$G$1:$BB$23</definedName>
    <definedName name="_xlnm.Print_Area" localSheetId="1">'STAP 1 - BESTELGEGEVENS'!$C$1:$BA$17</definedName>
    <definedName name="_xlnm.Print_Area" localSheetId="2">'STAP 2 - BESTELKEUZE'!$F$1:$BA$22</definedName>
    <definedName name="_xlnm.Print_Area" localSheetId="0">START!$G$1:$BB$25</definedName>
    <definedName name="_xlnm.Print_Area" localSheetId="6">VERSTUREN!$G$1:$BB$27</definedName>
    <definedName name="afwijkingen" localSheetId="5">#REF!</definedName>
    <definedName name="afwijkingen">#REF!</definedName>
    <definedName name="BORREL" localSheetId="5">#REF!</definedName>
    <definedName name="BORREL">#REF!</definedName>
    <definedName name="broodsoorten">[1]Blad1!$Y$2:$Y$7</definedName>
    <definedName name="Harrie" localSheetId="5">#REF!</definedName>
    <definedName name="Harrie">#REF!</definedName>
    <definedName name="helehalve" localSheetId="5">#REF!</definedName>
    <definedName name="helehalve">#REF!</definedName>
    <definedName name="INFO_2" localSheetId="5">#REF!</definedName>
    <definedName name="INFO_2" localSheetId="2">#REF!</definedName>
    <definedName name="INFO_2" localSheetId="6">#REF!</definedName>
    <definedName name="INFO_2">#REF!</definedName>
    <definedName name="KIES_BEKER_of_FLESJE" localSheetId="5">#REF!</definedName>
    <definedName name="KIES_BEKER_of_FLESJE">#REF!</definedName>
    <definedName name="OVERIG">'BBQ-GOURMET BESTELLING'!#REF!</definedName>
    <definedName name="schaal" localSheetId="5">#REF!</definedName>
    <definedName name="schaal">#REF!</definedName>
    <definedName name="SMOOTHIE" localSheetId="5">#REF!</definedName>
    <definedName name="SMOOTHIE">#REF!</definedName>
    <definedName name="smoothies" localSheetId="5">#REF!</definedName>
    <definedName name="smoothies">#REF!</definedName>
    <definedName name="Vleessoorten">'BBQ-GOURMET BESTELLING'!$Y$1:$Y$28</definedName>
    <definedName name="WRAPS" localSheetId="5">#REF!</definedName>
    <definedName name="WRAPS">#REF!</definedName>
    <definedName name="wrapsoort" localSheetId="5">#REF!</definedName>
    <definedName name="wrapso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410" i="16" l="1"/>
  <c r="B127" i="24"/>
  <c r="T24" i="16"/>
  <c r="T23" i="16"/>
  <c r="T22" i="16"/>
  <c r="T21" i="16"/>
  <c r="T20" i="16"/>
  <c r="T19" i="16"/>
  <c r="T18" i="16"/>
  <c r="T12" i="16"/>
  <c r="Y12" i="16" s="1"/>
  <c r="T9" i="16"/>
  <c r="T10" i="16" s="1"/>
  <c r="T8" i="16"/>
  <c r="AE6" i="16"/>
  <c r="AL6" i="16" s="1"/>
  <c r="AI6" i="16" l="1"/>
  <c r="T11" i="16"/>
  <c r="T14" i="16" s="1"/>
  <c r="AL9" i="16"/>
  <c r="AK6" i="16"/>
  <c r="AG6" i="16"/>
  <c r="AE9" i="16"/>
  <c r="AE8" i="16"/>
  <c r="AH6" i="16"/>
  <c r="AJ6" i="16"/>
  <c r="AK9" i="16"/>
  <c r="AM9" i="16" s="1"/>
  <c r="AE10" i="16"/>
  <c r="AD14" i="16" l="1"/>
  <c r="T13" i="16"/>
  <c r="Y11" i="16"/>
  <c r="AE7" i="16"/>
  <c r="F127" i="24"/>
  <c r="F130" i="24" s="1"/>
  <c r="D127" i="24"/>
  <c r="D131" i="24" s="1"/>
  <c r="B131" i="24"/>
  <c r="F128" i="24"/>
  <c r="L75" i="27"/>
  <c r="L74" i="27"/>
  <c r="L73" i="27"/>
  <c r="L72" i="27"/>
  <c r="L71" i="27"/>
  <c r="L74" i="24"/>
  <c r="L73" i="24"/>
  <c r="L72" i="24"/>
  <c r="R227" i="24"/>
  <c r="R226" i="24"/>
  <c r="R225" i="24"/>
  <c r="R224" i="24"/>
  <c r="R223" i="24"/>
  <c r="R222" i="24"/>
  <c r="R221" i="24"/>
  <c r="D117" i="24"/>
  <c r="D116" i="24"/>
  <c r="D115" i="24"/>
  <c r="D114" i="24"/>
  <c r="D113" i="24"/>
  <c r="D112" i="24"/>
  <c r="D111" i="24"/>
  <c r="D110" i="24"/>
  <c r="D109" i="24"/>
  <c r="D108" i="24"/>
  <c r="D107" i="24"/>
  <c r="D106" i="24"/>
  <c r="D105" i="24"/>
  <c r="D104" i="24"/>
  <c r="D103" i="24"/>
  <c r="D102" i="24"/>
  <c r="D101" i="24"/>
  <c r="D100" i="24"/>
  <c r="D99" i="24"/>
  <c r="D98" i="24"/>
  <c r="D128" i="24" l="1"/>
  <c r="D130" i="24"/>
  <c r="B128" i="24"/>
  <c r="B130" i="24"/>
  <c r="F129" i="24"/>
  <c r="F131" i="24"/>
  <c r="D129" i="24"/>
  <c r="B129" i="24"/>
  <c r="D92" i="24"/>
  <c r="D91" i="24"/>
  <c r="D90" i="24"/>
  <c r="D89" i="24"/>
  <c r="D88" i="24"/>
  <c r="D87" i="24"/>
  <c r="D86" i="24"/>
  <c r="D85" i="24"/>
  <c r="D84" i="24"/>
  <c r="D83" i="24"/>
  <c r="N258" i="24"/>
  <c r="N257" i="24"/>
  <c r="N256" i="24"/>
  <c r="N255" i="24"/>
  <c r="D253" i="24"/>
  <c r="N252" i="24"/>
  <c r="N251" i="24"/>
  <c r="N250" i="24"/>
  <c r="N249" i="24"/>
  <c r="N248" i="24"/>
  <c r="N247" i="24"/>
  <c r="N246" i="24"/>
  <c r="N244" i="24"/>
  <c r="N243" i="24"/>
  <c r="N242" i="24"/>
  <c r="N241" i="24"/>
  <c r="N240" i="24"/>
  <c r="N238" i="24"/>
  <c r="N237" i="24"/>
  <c r="N236" i="24"/>
  <c r="N235" i="24"/>
  <c r="N234" i="24"/>
  <c r="N233" i="24"/>
  <c r="N232" i="24"/>
  <c r="N231" i="24"/>
  <c r="N230" i="24"/>
  <c r="N229" i="24"/>
  <c r="N217" i="24"/>
  <c r="N216" i="24"/>
  <c r="N215" i="24"/>
  <c r="N214" i="24"/>
  <c r="N213" i="24"/>
  <c r="N212" i="24"/>
  <c r="N211" i="24"/>
  <c r="N210" i="24"/>
  <c r="N209" i="24"/>
  <c r="N208" i="24"/>
  <c r="N207" i="24"/>
  <c r="N206" i="24"/>
  <c r="N205" i="24"/>
  <c r="N204" i="24"/>
  <c r="N203" i="24"/>
  <c r="N202" i="24"/>
  <c r="N201" i="24"/>
  <c r="N200" i="24"/>
  <c r="N199" i="24"/>
  <c r="N198" i="24"/>
  <c r="N197" i="24"/>
  <c r="N196" i="24"/>
  <c r="N195" i="24"/>
  <c r="N194" i="24"/>
  <c r="N193" i="24"/>
  <c r="N192" i="24"/>
  <c r="N191" i="24"/>
  <c r="N190" i="24"/>
  <c r="N189" i="24"/>
  <c r="N182" i="24"/>
  <c r="N181" i="24"/>
  <c r="I179" i="24"/>
  <c r="I178" i="24"/>
  <c r="I177" i="24"/>
  <c r="I176" i="24"/>
  <c r="I175" i="24"/>
  <c r="I174" i="24"/>
  <c r="I173" i="24"/>
  <c r="I172" i="24"/>
  <c r="I171" i="24"/>
  <c r="I170" i="24"/>
  <c r="N169" i="24"/>
  <c r="I169" i="24"/>
  <c r="N167" i="24"/>
  <c r="N166" i="24"/>
  <c r="N165" i="24"/>
  <c r="N164" i="24"/>
  <c r="N163" i="24"/>
  <c r="N162" i="24"/>
  <c r="N161" i="24"/>
  <c r="E156" i="24"/>
  <c r="E155" i="24"/>
  <c r="E154" i="24"/>
  <c r="E153" i="24"/>
  <c r="N151" i="24"/>
  <c r="I151" i="24"/>
  <c r="I155" i="24" s="1"/>
  <c r="H155" i="24" s="1"/>
  <c r="N149" i="24"/>
  <c r="N148" i="24"/>
  <c r="N147" i="24"/>
  <c r="N146" i="24"/>
  <c r="N145" i="24"/>
  <c r="N144" i="24"/>
  <c r="N143" i="24"/>
  <c r="N142" i="24"/>
  <c r="N141" i="24"/>
  <c r="N140" i="24"/>
  <c r="N139" i="24"/>
  <c r="N127" i="24"/>
  <c r="J127" i="24"/>
  <c r="J130" i="24" s="1"/>
  <c r="H127" i="24"/>
  <c r="H131" i="24" s="1"/>
  <c r="N126" i="24"/>
  <c r="N78" i="24"/>
  <c r="N77" i="24"/>
  <c r="L70" i="24"/>
  <c r="L69" i="24"/>
  <c r="L68" i="24"/>
  <c r="L67" i="24"/>
  <c r="L66" i="24"/>
  <c r="L63" i="24"/>
  <c r="L62" i="24"/>
  <c r="L61" i="24"/>
  <c r="N59" i="24"/>
  <c r="L59" i="24"/>
  <c r="N58" i="24"/>
  <c r="L58" i="24"/>
  <c r="L57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N39" i="24"/>
  <c r="L39" i="24"/>
  <c r="N38" i="24"/>
  <c r="L38" i="24"/>
  <c r="N37" i="24"/>
  <c r="L37" i="24"/>
  <c r="N36" i="24"/>
  <c r="L36" i="24"/>
  <c r="N35" i="24"/>
  <c r="L35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L10" i="24"/>
  <c r="L9" i="24"/>
  <c r="L8" i="24"/>
  <c r="L7" i="24"/>
  <c r="L5" i="24"/>
  <c r="L4" i="24"/>
  <c r="H129" i="24" l="1"/>
  <c r="I154" i="24"/>
  <c r="H154" i="24" s="1"/>
  <c r="I157" i="24"/>
  <c r="H157" i="24" s="1"/>
  <c r="J128" i="24"/>
  <c r="J131" i="24"/>
  <c r="I153" i="24"/>
  <c r="H153" i="24" s="1"/>
  <c r="H128" i="24"/>
  <c r="J129" i="24"/>
  <c r="H130" i="24"/>
  <c r="I152" i="24"/>
  <c r="H152" i="24" s="1"/>
  <c r="I156" i="24"/>
  <c r="H156" i="24" s="1"/>
  <c r="I158" i="24"/>
  <c r="H158" i="24" s="1"/>
  <c r="L84" i="27" l="1"/>
  <c r="L83" i="27"/>
  <c r="Q225" i="24" l="1"/>
  <c r="Q227" i="24"/>
  <c r="Q226" i="24"/>
  <c r="Q224" i="24"/>
  <c r="Q223" i="24"/>
  <c r="Q222" i="24"/>
  <c r="T227" i="24"/>
  <c r="S227" i="24"/>
  <c r="T226" i="24"/>
  <c r="S226" i="24"/>
  <c r="T225" i="24"/>
  <c r="S225" i="24"/>
  <c r="T224" i="24"/>
  <c r="S224" i="24"/>
  <c r="T223" i="24"/>
  <c r="S223" i="24"/>
  <c r="T222" i="24"/>
  <c r="S222" i="24"/>
  <c r="T221" i="24"/>
  <c r="S221" i="24"/>
  <c r="Q221" i="24"/>
  <c r="A116" i="24"/>
  <c r="Q117" i="24"/>
  <c r="Q116" i="24"/>
  <c r="Q115" i="24"/>
  <c r="Q114" i="24"/>
  <c r="Q113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2" i="24"/>
  <c r="Q91" i="24"/>
  <c r="Q90" i="24"/>
  <c r="Q89" i="24"/>
  <c r="Q88" i="24"/>
  <c r="Q87" i="24"/>
  <c r="Q86" i="24"/>
  <c r="Q85" i="24"/>
  <c r="Q84" i="24"/>
  <c r="Q83" i="24"/>
  <c r="R74" i="24"/>
  <c r="Q74" i="24" s="1"/>
  <c r="N74" i="24" s="1"/>
  <c r="R73" i="24"/>
  <c r="Q73" i="24" s="1"/>
  <c r="N73" i="24" s="1"/>
  <c r="R72" i="24"/>
  <c r="Q72" i="24" s="1"/>
  <c r="N72" i="24" s="1"/>
  <c r="R70" i="24"/>
  <c r="Q70" i="24" s="1"/>
  <c r="N70" i="24" s="1"/>
  <c r="R69" i="24"/>
  <c r="Q69" i="24" s="1"/>
  <c r="N69" i="24" s="1"/>
  <c r="R68" i="24"/>
  <c r="Q68" i="24" s="1"/>
  <c r="N68" i="24" s="1"/>
  <c r="R67" i="24"/>
  <c r="Q67" i="24" s="1"/>
  <c r="N67" i="24" s="1"/>
  <c r="R66" i="24"/>
  <c r="Q66" i="24" s="1"/>
  <c r="N66" i="24" s="1"/>
  <c r="S127" i="24"/>
  <c r="S126" i="24"/>
  <c r="S125" i="24"/>
  <c r="S123" i="24"/>
  <c r="S124" i="24"/>
  <c r="R127" i="24"/>
  <c r="R126" i="24"/>
  <c r="R125" i="24"/>
  <c r="R124" i="24"/>
  <c r="Q127" i="24"/>
  <c r="Q126" i="24"/>
  <c r="Q125" i="24"/>
  <c r="Q124" i="24"/>
  <c r="T127" i="24"/>
  <c r="J120" i="24" s="1"/>
  <c r="T126" i="24"/>
  <c r="H120" i="24" s="1"/>
  <c r="T125" i="24"/>
  <c r="F120" i="24" s="1"/>
  <c r="F132" i="24" s="1"/>
  <c r="T124" i="24"/>
  <c r="D120" i="24" s="1"/>
  <c r="D132" i="24" s="1"/>
  <c r="T123" i="24"/>
  <c r="B120" i="24" s="1"/>
  <c r="B132" i="24" s="1"/>
  <c r="R123" i="24"/>
  <c r="Y62" i="24"/>
  <c r="Y61" i="24"/>
  <c r="Y60" i="24"/>
  <c r="Q123" i="24" s="1"/>
  <c r="N125" i="24" l="1"/>
  <c r="N124" i="24"/>
  <c r="N123" i="24"/>
  <c r="N221" i="24"/>
  <c r="N224" i="24"/>
  <c r="C114" i="24"/>
  <c r="C110" i="24"/>
  <c r="C106" i="24"/>
  <c r="C102" i="24"/>
  <c r="C98" i="24"/>
  <c r="C115" i="24"/>
  <c r="C111" i="24"/>
  <c r="C107" i="24"/>
  <c r="C103" i="24"/>
  <c r="C99" i="24"/>
  <c r="C90" i="24"/>
  <c r="L90" i="24" s="1"/>
  <c r="N90" i="24" s="1"/>
  <c r="C116" i="24"/>
  <c r="C112" i="24"/>
  <c r="C108" i="24"/>
  <c r="C104" i="24"/>
  <c r="C100" i="24"/>
  <c r="C83" i="24"/>
  <c r="L83" i="24" s="1"/>
  <c r="N83" i="24" s="1"/>
  <c r="C117" i="24"/>
  <c r="C113" i="24"/>
  <c r="C109" i="24"/>
  <c r="C105" i="24"/>
  <c r="C101" i="24"/>
  <c r="C92" i="24"/>
  <c r="L92" i="24" s="1"/>
  <c r="N92" i="24" s="1"/>
  <c r="C88" i="24"/>
  <c r="L88" i="24" s="1"/>
  <c r="N88" i="24" s="1"/>
  <c r="C84" i="24"/>
  <c r="L84" i="24" s="1"/>
  <c r="N84" i="24" s="1"/>
  <c r="C89" i="24"/>
  <c r="L89" i="24" s="1"/>
  <c r="N89" i="24" s="1"/>
  <c r="C85" i="24"/>
  <c r="L85" i="24" s="1"/>
  <c r="N85" i="24" s="1"/>
  <c r="C86" i="24"/>
  <c r="L86" i="24" s="1"/>
  <c r="N86" i="24" s="1"/>
  <c r="C91" i="24"/>
  <c r="L91" i="24" s="1"/>
  <c r="N91" i="24" s="1"/>
  <c r="C87" i="24"/>
  <c r="L87" i="24" s="1"/>
  <c r="N87" i="24" s="1"/>
  <c r="F125" i="24"/>
  <c r="F133" i="24" s="1"/>
  <c r="L96" i="24"/>
  <c r="L81" i="24"/>
  <c r="N226" i="24"/>
  <c r="D125" i="24"/>
  <c r="D133" i="24" s="1"/>
  <c r="B125" i="24"/>
  <c r="B133" i="24" s="1"/>
  <c r="B134" i="24" s="1"/>
  <c r="J125" i="24"/>
  <c r="J132" i="24"/>
  <c r="N223" i="24"/>
  <c r="H132" i="24"/>
  <c r="H125" i="24"/>
  <c r="N222" i="24"/>
  <c r="N227" i="24"/>
  <c r="N225" i="24"/>
  <c r="BD235" i="24"/>
  <c r="BD234" i="24"/>
  <c r="D134" i="24" l="1"/>
  <c r="N134" i="24"/>
  <c r="F134" i="24"/>
  <c r="N135" i="24"/>
  <c r="B136" i="24"/>
  <c r="B137" i="24"/>
  <c r="B135" i="24"/>
  <c r="J136" i="24"/>
  <c r="J126" i="24"/>
  <c r="J137" i="24"/>
  <c r="J135" i="24"/>
  <c r="J133" i="24"/>
  <c r="H136" i="24"/>
  <c r="H126" i="24"/>
  <c r="H137" i="24"/>
  <c r="H135" i="24"/>
  <c r="H133" i="24"/>
  <c r="D137" i="24"/>
  <c r="D135" i="24"/>
  <c r="D136" i="24"/>
  <c r="D126" i="24"/>
  <c r="F126" i="24"/>
  <c r="F137" i="24"/>
  <c r="F135" i="24"/>
  <c r="F136" i="24"/>
  <c r="B126" i="24"/>
  <c r="N133" i="24"/>
  <c r="AO13" i="30"/>
  <c r="AJ13" i="30" s="1"/>
  <c r="AG75" i="27"/>
  <c r="AF75" i="27"/>
  <c r="AE75" i="27"/>
  <c r="AD75" i="27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AG74" i="27"/>
  <c r="AF74" i="27"/>
  <c r="AE74" i="27"/>
  <c r="AD74" i="27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AG73" i="27"/>
  <c r="AF73" i="27"/>
  <c r="AE73" i="27"/>
  <c r="AD73" i="27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AG72" i="27"/>
  <c r="AF72" i="27"/>
  <c r="AE72" i="27"/>
  <c r="AD72" i="27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AG71" i="27"/>
  <c r="AF71" i="27"/>
  <c r="AE71" i="27"/>
  <c r="AD71" i="27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AG70" i="27"/>
  <c r="AE70" i="27"/>
  <c r="AD70" i="27"/>
  <c r="AC70" i="27"/>
  <c r="AB70" i="27"/>
  <c r="AA70" i="27"/>
  <c r="Z70" i="27"/>
  <c r="Y70" i="27"/>
  <c r="X70" i="27"/>
  <c r="W70" i="27"/>
  <c r="V70" i="27"/>
  <c r="U70" i="27"/>
  <c r="T70" i="27"/>
  <c r="S70" i="27"/>
  <c r="R70" i="27"/>
  <c r="P70" i="27"/>
  <c r="AG69" i="27"/>
  <c r="AF69" i="27"/>
  <c r="AE69" i="27"/>
  <c r="AD69" i="27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AG68" i="27"/>
  <c r="AF68" i="27"/>
  <c r="AE68" i="27"/>
  <c r="AD68" i="27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AF67" i="27"/>
  <c r="AE67" i="27"/>
  <c r="AD67" i="27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O75" i="27"/>
  <c r="O74" i="27"/>
  <c r="O73" i="27"/>
  <c r="O72" i="27"/>
  <c r="O71" i="27"/>
  <c r="O70" i="27"/>
  <c r="O68" i="27"/>
  <c r="N67" i="27"/>
  <c r="N75" i="27"/>
  <c r="N74" i="27"/>
  <c r="N73" i="27"/>
  <c r="N72" i="27"/>
  <c r="N71" i="27"/>
  <c r="N70" i="27"/>
  <c r="N69" i="27"/>
  <c r="V194" i="27"/>
  <c r="AG67" i="27" s="1"/>
  <c r="V193" i="27"/>
  <c r="AF70" i="27" s="1"/>
  <c r="V192" i="27"/>
  <c r="V191" i="27"/>
  <c r="V190" i="27"/>
  <c r="V189" i="27"/>
  <c r="V188" i="27"/>
  <c r="V187" i="27"/>
  <c r="V186" i="27"/>
  <c r="V185" i="27"/>
  <c r="V184" i="27"/>
  <c r="V183" i="27"/>
  <c r="V182" i="27"/>
  <c r="V181" i="27"/>
  <c r="V180" i="27"/>
  <c r="V179" i="27"/>
  <c r="V178" i="27"/>
  <c r="Q70" i="27" s="1"/>
  <c r="V177" i="27"/>
  <c r="V176" i="27"/>
  <c r="O69" i="27" s="1"/>
  <c r="V175" i="27"/>
  <c r="N68" i="27" s="1"/>
  <c r="L68" i="27" s="1"/>
  <c r="BI7" i="16"/>
  <c r="BH7" i="16"/>
  <c r="BI20" i="16"/>
  <c r="H134" i="24" l="1"/>
  <c r="N136" i="24"/>
  <c r="J134" i="24"/>
  <c r="N137" i="24"/>
  <c r="L70" i="27"/>
  <c r="L67" i="27"/>
  <c r="L69" i="27"/>
  <c r="BI22" i="16"/>
  <c r="BI21" i="16"/>
  <c r="Z217" i="24"/>
  <c r="Z216" i="24"/>
  <c r="Z215" i="24"/>
  <c r="Z214" i="24"/>
  <c r="Z213" i="24"/>
  <c r="Z212" i="24"/>
  <c r="Z211" i="24"/>
  <c r="Z210" i="24"/>
  <c r="Z209" i="24"/>
  <c r="Z208" i="24"/>
  <c r="Z207" i="24"/>
  <c r="Z206" i="24"/>
  <c r="Z205" i="24"/>
  <c r="Z204" i="24"/>
  <c r="Z203" i="24"/>
  <c r="Z202" i="24"/>
  <c r="Z201" i="24"/>
  <c r="Z200" i="24"/>
  <c r="Z199" i="24"/>
  <c r="Z198" i="24"/>
  <c r="Z197" i="24"/>
  <c r="Z196" i="24"/>
  <c r="Z195" i="24"/>
  <c r="Z194" i="24"/>
  <c r="Z193" i="24"/>
  <c r="Z192" i="24"/>
  <c r="Z191" i="24"/>
  <c r="Z190" i="24"/>
  <c r="Z189" i="24"/>
  <c r="Z188" i="24"/>
  <c r="BI179" i="24"/>
  <c r="BI180" i="24"/>
  <c r="BI182" i="24"/>
  <c r="BE10" i="16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205" i="24"/>
  <c r="Y204" i="24"/>
  <c r="Y203" i="24"/>
  <c r="Y202" i="24"/>
  <c r="Y201" i="24"/>
  <c r="Y200" i="24"/>
  <c r="Y199" i="24"/>
  <c r="Y198" i="24"/>
  <c r="Y197" i="24"/>
  <c r="Y196" i="24"/>
  <c r="Y195" i="24"/>
  <c r="Y194" i="24"/>
  <c r="Y193" i="24"/>
  <c r="Y192" i="24"/>
  <c r="Y191" i="24"/>
  <c r="Y190" i="24"/>
  <c r="X189" i="24"/>
  <c r="Y189" i="24"/>
  <c r="X190" i="24"/>
  <c r="X191" i="24"/>
  <c r="X192" i="24"/>
  <c r="X193" i="24"/>
  <c r="X194" i="24"/>
  <c r="X195" i="24"/>
  <c r="X196" i="24"/>
  <c r="X197" i="24"/>
  <c r="X198" i="24"/>
  <c r="X199" i="24"/>
  <c r="X200" i="24"/>
  <c r="X201" i="24"/>
  <c r="X202" i="24"/>
  <c r="X203" i="24"/>
  <c r="X204" i="24"/>
  <c r="X205" i="24"/>
  <c r="X206" i="24"/>
  <c r="X207" i="24"/>
  <c r="X208" i="24"/>
  <c r="X209" i="24"/>
  <c r="X210" i="24"/>
  <c r="X211" i="24"/>
  <c r="X212" i="24"/>
  <c r="X213" i="24"/>
  <c r="X214" i="24"/>
  <c r="X215" i="24"/>
  <c r="X216" i="24"/>
  <c r="X217" i="24"/>
  <c r="Y188" i="24"/>
  <c r="F66" i="27"/>
  <c r="F65" i="27"/>
  <c r="L65" i="27"/>
  <c r="T185" i="27"/>
  <c r="T184" i="27"/>
  <c r="T183" i="27"/>
  <c r="T182" i="27"/>
  <c r="T181" i="27"/>
  <c r="BF10" i="16" l="1"/>
  <c r="BB10" i="16"/>
  <c r="BC10" i="16"/>
  <c r="BD10" i="16"/>
  <c r="I11" i="16"/>
  <c r="AJ16" i="30" l="1"/>
  <c r="L15" i="27"/>
  <c r="L14" i="27"/>
  <c r="AF234" i="24"/>
  <c r="AI238" i="24"/>
  <c r="AH238" i="24"/>
  <c r="AG238" i="24"/>
  <c r="AF238" i="24"/>
  <c r="AE238" i="24"/>
  <c r="AD238" i="24"/>
  <c r="AC238" i="24"/>
  <c r="AB238" i="24"/>
  <c r="AA238" i="24"/>
  <c r="Z238" i="24"/>
  <c r="Y238" i="24"/>
  <c r="X238" i="24"/>
  <c r="W238" i="24"/>
  <c r="V238" i="24"/>
  <c r="U238" i="24"/>
  <c r="T238" i="24"/>
  <c r="R238" i="24"/>
  <c r="Q238" i="24"/>
  <c r="AI237" i="24"/>
  <c r="AH237" i="24"/>
  <c r="AG237" i="24"/>
  <c r="AF237" i="24"/>
  <c r="AE237" i="24"/>
  <c r="AD237" i="24"/>
  <c r="AC237" i="24"/>
  <c r="AB237" i="24"/>
  <c r="AA237" i="24"/>
  <c r="Z237" i="24"/>
  <c r="Y237" i="24"/>
  <c r="X237" i="24"/>
  <c r="W237" i="24"/>
  <c r="V237" i="24"/>
  <c r="U237" i="24"/>
  <c r="T237" i="24"/>
  <c r="R237" i="24"/>
  <c r="Q237" i="24"/>
  <c r="AI236" i="24"/>
  <c r="AH236" i="24"/>
  <c r="AG236" i="24"/>
  <c r="AF236" i="24"/>
  <c r="AE236" i="24"/>
  <c r="AD236" i="24"/>
  <c r="AC236" i="24"/>
  <c r="AB236" i="24"/>
  <c r="AA236" i="24"/>
  <c r="Z236" i="24"/>
  <c r="Y236" i="24"/>
  <c r="X236" i="24"/>
  <c r="W236" i="24"/>
  <c r="V236" i="24"/>
  <c r="U236" i="24"/>
  <c r="T236" i="24"/>
  <c r="R236" i="24"/>
  <c r="Q236" i="24"/>
  <c r="AI235" i="24"/>
  <c r="AH235" i="24"/>
  <c r="AG235" i="24"/>
  <c r="AF235" i="24"/>
  <c r="AE235" i="24"/>
  <c r="AD235" i="24"/>
  <c r="AC235" i="24"/>
  <c r="AB235" i="24"/>
  <c r="AA235" i="24"/>
  <c r="Z235" i="24"/>
  <c r="Y235" i="24"/>
  <c r="X235" i="24"/>
  <c r="W235" i="24"/>
  <c r="V235" i="24"/>
  <c r="U235" i="24"/>
  <c r="T235" i="24"/>
  <c r="R235" i="24"/>
  <c r="Q235" i="24"/>
  <c r="AI234" i="24"/>
  <c r="AH234" i="24"/>
  <c r="AG234" i="24"/>
  <c r="AE234" i="24"/>
  <c r="AD234" i="24"/>
  <c r="AC234" i="24"/>
  <c r="AB234" i="24"/>
  <c r="AA234" i="24"/>
  <c r="Z234" i="24"/>
  <c r="Y234" i="24"/>
  <c r="X234" i="24"/>
  <c r="W234" i="24"/>
  <c r="V234" i="24"/>
  <c r="U234" i="24"/>
  <c r="T234" i="24"/>
  <c r="R234" i="24"/>
  <c r="Q234" i="24"/>
  <c r="AI233" i="24"/>
  <c r="AH233" i="24"/>
  <c r="AG233" i="24"/>
  <c r="AF233" i="24"/>
  <c r="AE233" i="24"/>
  <c r="AD233" i="24"/>
  <c r="AC233" i="24"/>
  <c r="AB233" i="24"/>
  <c r="AA233" i="24"/>
  <c r="Z233" i="24"/>
  <c r="Y233" i="24"/>
  <c r="X233" i="24"/>
  <c r="W233" i="24"/>
  <c r="V233" i="24"/>
  <c r="U233" i="24"/>
  <c r="T233" i="24"/>
  <c r="R233" i="24"/>
  <c r="Q233" i="24"/>
  <c r="AI232" i="24"/>
  <c r="AH232" i="24"/>
  <c r="AG232" i="24"/>
  <c r="AF232" i="24"/>
  <c r="AE232" i="24"/>
  <c r="AD232" i="24"/>
  <c r="AC232" i="24"/>
  <c r="AB232" i="24"/>
  <c r="AA232" i="24"/>
  <c r="Z232" i="24"/>
  <c r="Y232" i="24"/>
  <c r="X232" i="24"/>
  <c r="W232" i="24"/>
  <c r="V232" i="24"/>
  <c r="U232" i="24"/>
  <c r="T232" i="24"/>
  <c r="R232" i="24"/>
  <c r="Q232" i="24"/>
  <c r="AI231" i="24"/>
  <c r="AH231" i="24"/>
  <c r="AG231" i="24"/>
  <c r="AF231" i="24"/>
  <c r="AE231" i="24"/>
  <c r="AD231" i="24"/>
  <c r="AC231" i="24"/>
  <c r="AB231" i="24"/>
  <c r="AA231" i="24"/>
  <c r="Z231" i="24"/>
  <c r="Y231" i="24"/>
  <c r="X231" i="24"/>
  <c r="W231" i="24"/>
  <c r="V231" i="24"/>
  <c r="U231" i="24"/>
  <c r="T231" i="24"/>
  <c r="R231" i="24"/>
  <c r="Q231" i="24"/>
  <c r="AI230" i="24"/>
  <c r="AH230" i="24"/>
  <c r="AG230" i="24"/>
  <c r="AF230" i="24"/>
  <c r="AE230" i="24"/>
  <c r="AD230" i="24"/>
  <c r="AC230" i="24"/>
  <c r="AB230" i="24"/>
  <c r="AA230" i="24"/>
  <c r="Z230" i="24"/>
  <c r="Y230" i="24"/>
  <c r="X230" i="24"/>
  <c r="W230" i="24"/>
  <c r="V230" i="24"/>
  <c r="U230" i="24"/>
  <c r="T230" i="24"/>
  <c r="R230" i="24"/>
  <c r="Q230" i="24"/>
  <c r="T229" i="24"/>
  <c r="R229" i="24"/>
  <c r="Q229" i="24"/>
  <c r="BD254" i="24"/>
  <c r="BD253" i="24"/>
  <c r="BD252" i="24"/>
  <c r="BD251" i="24"/>
  <c r="BD250" i="24"/>
  <c r="BD249" i="24"/>
  <c r="BD248" i="24"/>
  <c r="BD247" i="24"/>
  <c r="BD246" i="24"/>
  <c r="BD245" i="24"/>
  <c r="BD244" i="24"/>
  <c r="BD243" i="24"/>
  <c r="BD242" i="24"/>
  <c r="BD241" i="24"/>
  <c r="BD240" i="24"/>
  <c r="BD239" i="24"/>
  <c r="BI19" i="16"/>
  <c r="Z241" i="24" l="1"/>
  <c r="F91" i="27" l="1"/>
  <c r="F104" i="27"/>
  <c r="K12" i="27"/>
  <c r="J12" i="27"/>
  <c r="F12" i="27"/>
  <c r="K2" i="27"/>
  <c r="J2" i="27"/>
  <c r="F2" i="27"/>
  <c r="L5" i="27"/>
  <c r="L4" i="27"/>
  <c r="X188" i="24"/>
  <c r="N188" i="24" s="1"/>
  <c r="BG12" i="16" l="1"/>
  <c r="AX8" i="9"/>
  <c r="BH42" i="16"/>
  <c r="BH43" i="16" s="1"/>
  <c r="BH44" i="16" s="1"/>
  <c r="BH45" i="16" s="1"/>
  <c r="BH46" i="16" s="1"/>
  <c r="BH47" i="16" s="1"/>
  <c r="BI47" i="16" s="1"/>
  <c r="BJ47" i="16" s="1"/>
  <c r="BH48" i="16" l="1"/>
  <c r="BI48" i="16" s="1"/>
  <c r="BJ48" i="16" s="1"/>
  <c r="BD12" i="16"/>
  <c r="BB12" i="16"/>
  <c r="BE12" i="16"/>
  <c r="BC12" i="16"/>
  <c r="BG13" i="16"/>
  <c r="BB13" i="16"/>
  <c r="BE13" i="16"/>
  <c r="BF13" i="16"/>
  <c r="BC13" i="16"/>
  <c r="BF12" i="16"/>
  <c r="BD13" i="16"/>
  <c r="BG10" i="16"/>
  <c r="BE11" i="16"/>
  <c r="BC11" i="16"/>
  <c r="BF11" i="16"/>
  <c r="BD11" i="16"/>
  <c r="BB11" i="16"/>
  <c r="BI42" i="16"/>
  <c r="BI45" i="16"/>
  <c r="BJ45" i="16" s="1"/>
  <c r="BI44" i="16"/>
  <c r="BJ44" i="16" s="1"/>
  <c r="BI46" i="16"/>
  <c r="BJ46" i="16" s="1"/>
  <c r="BI43" i="16"/>
  <c r="BJ43" i="16" s="1"/>
  <c r="AB123" i="27"/>
  <c r="AB124" i="27" s="1"/>
  <c r="AB125" i="27" s="1"/>
  <c r="AB126" i="27" s="1"/>
  <c r="AB127" i="27" s="1"/>
  <c r="AB128" i="27" s="1"/>
  <c r="AB129" i="27" s="1"/>
  <c r="AB130" i="27" s="1"/>
  <c r="AB131" i="27" s="1"/>
  <c r="AB132" i="27" s="1"/>
  <c r="AB133" i="27" s="1"/>
  <c r="AB134" i="27" s="1"/>
  <c r="AB135" i="27" s="1"/>
  <c r="AB136" i="27" s="1"/>
  <c r="AB137" i="27" s="1"/>
  <c r="AB138" i="27" s="1"/>
  <c r="AB139" i="27" s="1"/>
  <c r="AB140" i="27" s="1"/>
  <c r="AB141" i="27" s="1"/>
  <c r="AB142" i="27" s="1"/>
  <c r="AB143" i="27" s="1"/>
  <c r="AB144" i="27" s="1"/>
  <c r="AB145" i="27" s="1"/>
  <c r="AB146" i="27" s="1"/>
  <c r="AB147" i="27" s="1"/>
  <c r="AB148" i="27" s="1"/>
  <c r="AB149" i="27" s="1"/>
  <c r="AB150" i="27" s="1"/>
  <c r="AB151" i="27" s="1"/>
  <c r="AB152" i="27" s="1"/>
  <c r="AB153" i="27" s="1"/>
  <c r="AB154" i="27" s="1"/>
  <c r="AB155" i="27" s="1"/>
  <c r="AB156" i="27" s="1"/>
  <c r="AB157" i="27" s="1"/>
  <c r="AB158" i="27" s="1"/>
  <c r="AB159" i="27" s="1"/>
  <c r="AB160" i="27" s="1"/>
  <c r="AB161" i="27" s="1"/>
  <c r="AB162" i="27" s="1"/>
  <c r="AB163" i="27" s="1"/>
  <c r="AB164" i="27" s="1"/>
  <c r="AB165" i="27" s="1"/>
  <c r="AB166" i="27" s="1"/>
  <c r="AB167" i="27" s="1"/>
  <c r="AB168" i="27" s="1"/>
  <c r="AB169" i="27" s="1"/>
  <c r="AB170" i="27" s="1"/>
  <c r="AB171" i="27" s="1"/>
  <c r="AB172" i="27" s="1"/>
  <c r="AB173" i="27" s="1"/>
  <c r="AB174" i="27" s="1"/>
  <c r="AB175" i="27" s="1"/>
  <c r="AB176" i="27" s="1"/>
  <c r="AB177" i="27" s="1"/>
  <c r="AB178" i="27" s="1"/>
  <c r="AB179" i="27" s="1"/>
  <c r="AB180" i="27" s="1"/>
  <c r="AB181" i="27" s="1"/>
  <c r="AB182" i="27" s="1"/>
  <c r="AB183" i="27" s="1"/>
  <c r="AB184" i="27" s="1"/>
  <c r="AB185" i="27" s="1"/>
  <c r="AB186" i="27" s="1"/>
  <c r="AB187" i="27" s="1"/>
  <c r="AB188" i="27" s="1"/>
  <c r="AB189" i="27" s="1"/>
  <c r="AB190" i="27" s="1"/>
  <c r="AB191" i="27" s="1"/>
  <c r="AB192" i="27" s="1"/>
  <c r="AB193" i="27" s="1"/>
  <c r="AB194" i="27" s="1"/>
  <c r="AB195" i="27" s="1"/>
  <c r="AB196" i="27" s="1"/>
  <c r="AB197" i="27" s="1"/>
  <c r="AB198" i="27" s="1"/>
  <c r="AB199" i="27" s="1"/>
  <c r="AB200" i="27" s="1"/>
  <c r="AB201" i="27" s="1"/>
  <c r="AB202" i="27" s="1"/>
  <c r="BJ42" i="16" l="1"/>
  <c r="BH49" i="16"/>
  <c r="AB12" i="16"/>
  <c r="J34" i="65"/>
  <c r="J33" i="65"/>
  <c r="J32" i="65"/>
  <c r="J31" i="65"/>
  <c r="J30" i="65"/>
  <c r="J29" i="65"/>
  <c r="J28" i="65"/>
  <c r="J27" i="65"/>
  <c r="J26" i="65"/>
  <c r="J25" i="65"/>
  <c r="J24" i="65"/>
  <c r="J23" i="65"/>
  <c r="J22" i="65"/>
  <c r="N104" i="27"/>
  <c r="N91" i="27"/>
  <c r="L81" i="27"/>
  <c r="L80" i="27"/>
  <c r="L79" i="27"/>
  <c r="T180" i="27"/>
  <c r="T178" i="27"/>
  <c r="T177" i="27"/>
  <c r="T176" i="27"/>
  <c r="T17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U207" i="27"/>
  <c r="U206" i="27"/>
  <c r="L13" i="27"/>
  <c r="L3" i="27"/>
  <c r="BM254" i="24"/>
  <c r="BM253" i="24"/>
  <c r="BM252" i="24"/>
  <c r="BM251" i="24"/>
  <c r="BM250" i="24"/>
  <c r="BM249" i="24"/>
  <c r="BM248" i="24"/>
  <c r="BM247" i="24"/>
  <c r="AM253" i="24"/>
  <c r="AM252" i="24"/>
  <c r="AM251" i="24"/>
  <c r="AM250" i="24"/>
  <c r="Q252" i="24"/>
  <c r="Q251" i="24"/>
  <c r="Q250" i="24"/>
  <c r="Q249" i="24"/>
  <c r="Q248" i="24"/>
  <c r="Q247" i="24"/>
  <c r="Q246" i="24"/>
  <c r="BN242" i="24"/>
  <c r="BN237" i="24"/>
  <c r="BN236" i="24"/>
  <c r="BN235" i="24"/>
  <c r="BN234" i="24"/>
  <c r="BN233" i="24"/>
  <c r="BN232" i="24"/>
  <c r="BN231" i="24"/>
  <c r="Q240" i="24"/>
  <c r="BI181" i="24"/>
  <c r="BH50" i="16" l="1"/>
  <c r="BI49" i="16"/>
  <c r="BJ49" i="16" s="1"/>
  <c r="L113" i="27"/>
  <c r="BC174" i="24"/>
  <c r="BC173" i="24"/>
  <c r="BC197" i="24"/>
  <c r="BC196" i="24"/>
  <c r="BC195" i="24"/>
  <c r="BC194" i="24"/>
  <c r="BC193" i="24"/>
  <c r="BC192" i="24"/>
  <c r="BC191" i="24"/>
  <c r="BC190" i="24"/>
  <c r="BC189" i="24"/>
  <c r="BC187" i="24"/>
  <c r="BC186" i="24"/>
  <c r="BC185" i="24"/>
  <c r="BC184" i="24"/>
  <c r="BC183" i="24"/>
  <c r="BC182" i="24"/>
  <c r="BC181" i="24"/>
  <c r="BC180" i="24"/>
  <c r="BC179" i="24"/>
  <c r="BC178" i="24"/>
  <c r="BC169" i="24"/>
  <c r="BC168" i="24"/>
  <c r="BC167" i="24"/>
  <c r="BC166" i="24"/>
  <c r="BC165" i="24"/>
  <c r="BC164" i="24"/>
  <c r="BC163" i="24"/>
  <c r="BC162" i="24"/>
  <c r="BC161" i="24"/>
  <c r="BC160" i="24"/>
  <c r="BC159" i="24"/>
  <c r="BC158" i="24"/>
  <c r="BC157" i="24"/>
  <c r="BC156" i="24"/>
  <c r="BC155" i="24"/>
  <c r="BC154" i="24"/>
  <c r="BC153" i="24"/>
  <c r="BC152" i="24"/>
  <c r="BC151" i="24"/>
  <c r="BC150" i="24"/>
  <c r="BC149" i="24"/>
  <c r="BC148" i="24"/>
  <c r="BC147" i="24"/>
  <c r="BC146" i="24"/>
  <c r="BC145" i="24"/>
  <c r="BC144" i="24"/>
  <c r="BC143" i="24"/>
  <c r="BC142" i="24"/>
  <c r="BC141" i="24"/>
  <c r="BC140" i="24"/>
  <c r="V139" i="24"/>
  <c r="R63" i="24"/>
  <c r="Q63" i="24" s="1"/>
  <c r="N63" i="24" s="1"/>
  <c r="R62" i="24"/>
  <c r="Q62" i="24" s="1"/>
  <c r="N62" i="24" s="1"/>
  <c r="R61" i="24"/>
  <c r="Q61" i="24" s="1"/>
  <c r="N61" i="24" s="1"/>
  <c r="S55" i="24"/>
  <c r="R55" i="24"/>
  <c r="Q55" i="24"/>
  <c r="BH51" i="16" l="1"/>
  <c r="BI50" i="16"/>
  <c r="BJ50" i="16" s="1"/>
  <c r="N55" i="24"/>
  <c r="N262" i="24" s="1"/>
  <c r="BI51" i="16" l="1"/>
  <c r="BJ51" i="16" s="1"/>
  <c r="BH52" i="16"/>
  <c r="BI52" i="16" l="1"/>
  <c r="BJ52" i="16" s="1"/>
  <c r="BH53" i="16"/>
  <c r="AX6" i="30"/>
  <c r="T258" i="24"/>
  <c r="S258" i="24"/>
  <c r="R258" i="24"/>
  <c r="Q258" i="24"/>
  <c r="T257" i="24"/>
  <c r="S257" i="24"/>
  <c r="R257" i="24"/>
  <c r="Q257" i="24"/>
  <c r="T256" i="24"/>
  <c r="S256" i="24"/>
  <c r="R256" i="24"/>
  <c r="Q256" i="24"/>
  <c r="T255" i="24"/>
  <c r="S255" i="24"/>
  <c r="R255" i="24"/>
  <c r="Q255" i="24"/>
  <c r="BI53" i="16" l="1"/>
  <c r="BJ53" i="16" s="1"/>
  <c r="BH54" i="16"/>
  <c r="BH55" i="16" l="1"/>
  <c r="BI54" i="16"/>
  <c r="BJ54" i="16" l="1"/>
  <c r="BH56" i="16"/>
  <c r="BI55" i="16"/>
  <c r="BJ55" i="16" s="1"/>
  <c r="F81" i="27"/>
  <c r="F80" i="27"/>
  <c r="F79" i="27"/>
  <c r="L78" i="27"/>
  <c r="L77" i="27"/>
  <c r="L76" i="27"/>
  <c r="L66" i="27"/>
  <c r="L64" i="27"/>
  <c r="L63" i="27"/>
  <c r="L62" i="27"/>
  <c r="L61" i="27"/>
  <c r="L60" i="27"/>
  <c r="L59" i="27"/>
  <c r="L58" i="27"/>
  <c r="L57" i="27"/>
  <c r="F64" i="27"/>
  <c r="F63" i="27"/>
  <c r="F62" i="27"/>
  <c r="F61" i="27"/>
  <c r="F60" i="27"/>
  <c r="F59" i="27"/>
  <c r="F58" i="27"/>
  <c r="F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BI56" i="16" l="1"/>
  <c r="BJ56" i="16" s="1"/>
  <c r="BH57" i="16"/>
  <c r="BI57" i="16" l="1"/>
  <c r="BJ57" i="16" s="1"/>
  <c r="BH58" i="16"/>
  <c r="BH59" i="16" l="1"/>
  <c r="BI58" i="16"/>
  <c r="BJ58" i="16" s="1"/>
  <c r="W242" i="24"/>
  <c r="W241" i="24"/>
  <c r="W240" i="24"/>
  <c r="W243" i="24"/>
  <c r="Q191" i="24"/>
  <c r="AD217" i="24"/>
  <c r="AC217" i="24"/>
  <c r="AD216" i="24"/>
  <c r="AC216" i="24"/>
  <c r="AD215" i="24"/>
  <c r="AC215" i="24"/>
  <c r="AD214" i="24"/>
  <c r="AC214" i="24"/>
  <c r="AD213" i="24"/>
  <c r="AC213" i="24"/>
  <c r="AD212" i="24"/>
  <c r="AC212" i="24"/>
  <c r="AD211" i="24"/>
  <c r="AC211" i="24"/>
  <c r="AD210" i="24"/>
  <c r="AC210" i="24"/>
  <c r="AD209" i="24"/>
  <c r="AC209" i="24"/>
  <c r="AD208" i="24"/>
  <c r="AC208" i="24"/>
  <c r="AD207" i="24"/>
  <c r="AC207" i="24"/>
  <c r="AD206" i="24"/>
  <c r="AC206" i="24"/>
  <c r="AD205" i="24"/>
  <c r="AC205" i="24"/>
  <c r="AD204" i="24"/>
  <c r="AC204" i="24"/>
  <c r="AD203" i="24"/>
  <c r="AC203" i="24"/>
  <c r="AD202" i="24"/>
  <c r="AC202" i="24"/>
  <c r="AD201" i="24"/>
  <c r="AC201" i="24"/>
  <c r="AD200" i="24"/>
  <c r="AC200" i="24"/>
  <c r="AD199" i="24"/>
  <c r="AC199" i="24"/>
  <c r="AD198" i="24"/>
  <c r="AC198" i="24"/>
  <c r="AD197" i="24"/>
  <c r="AC197" i="24"/>
  <c r="AD196" i="24"/>
  <c r="AC196" i="24"/>
  <c r="AD195" i="24"/>
  <c r="AC195" i="24"/>
  <c r="AD194" i="24"/>
  <c r="AC194" i="24"/>
  <c r="AD193" i="24"/>
  <c r="AC193" i="24"/>
  <c r="AD192" i="24"/>
  <c r="AC192" i="24"/>
  <c r="AD191" i="24"/>
  <c r="AC191" i="24"/>
  <c r="AD190" i="24"/>
  <c r="AC190" i="24"/>
  <c r="AD189" i="24"/>
  <c r="AC189" i="24"/>
  <c r="AC188" i="24"/>
  <c r="AD188" i="24"/>
  <c r="T217" i="24"/>
  <c r="S217" i="24"/>
  <c r="R217" i="24"/>
  <c r="Q217" i="24"/>
  <c r="T216" i="24"/>
  <c r="S216" i="24"/>
  <c r="R216" i="24"/>
  <c r="Q216" i="24"/>
  <c r="T215" i="24"/>
  <c r="S215" i="24"/>
  <c r="R215" i="24"/>
  <c r="Q215" i="24"/>
  <c r="T214" i="24"/>
  <c r="S214" i="24"/>
  <c r="R214" i="24"/>
  <c r="Q214" i="24"/>
  <c r="T213" i="24"/>
  <c r="S213" i="24"/>
  <c r="R213" i="24"/>
  <c r="Q213" i="24"/>
  <c r="T212" i="24"/>
  <c r="S212" i="24"/>
  <c r="R212" i="24"/>
  <c r="Q212" i="24"/>
  <c r="T211" i="24"/>
  <c r="S211" i="24"/>
  <c r="R211" i="24"/>
  <c r="Q211" i="24"/>
  <c r="T210" i="24"/>
  <c r="S210" i="24"/>
  <c r="R210" i="24"/>
  <c r="Q210" i="24"/>
  <c r="T209" i="24"/>
  <c r="S209" i="24"/>
  <c r="R209" i="24"/>
  <c r="Q209" i="24"/>
  <c r="T208" i="24"/>
  <c r="S208" i="24"/>
  <c r="R208" i="24"/>
  <c r="Q208" i="24"/>
  <c r="T207" i="24"/>
  <c r="S207" i="24"/>
  <c r="R207" i="24"/>
  <c r="Q207" i="24"/>
  <c r="T206" i="24"/>
  <c r="S206" i="24"/>
  <c r="R206" i="24"/>
  <c r="Q206" i="24"/>
  <c r="T205" i="24"/>
  <c r="S205" i="24"/>
  <c r="R205" i="24"/>
  <c r="Q205" i="24"/>
  <c r="T204" i="24"/>
  <c r="S204" i="24"/>
  <c r="R204" i="24"/>
  <c r="Q204" i="24"/>
  <c r="T203" i="24"/>
  <c r="S203" i="24"/>
  <c r="R203" i="24"/>
  <c r="Q203" i="24"/>
  <c r="T202" i="24"/>
  <c r="S202" i="24"/>
  <c r="R202" i="24"/>
  <c r="Q202" i="24"/>
  <c r="T201" i="24"/>
  <c r="S201" i="24"/>
  <c r="R201" i="24"/>
  <c r="Q201" i="24"/>
  <c r="T200" i="24"/>
  <c r="S200" i="24"/>
  <c r="R200" i="24"/>
  <c r="Q200" i="24"/>
  <c r="T199" i="24"/>
  <c r="S199" i="24"/>
  <c r="R199" i="24"/>
  <c r="Q199" i="24"/>
  <c r="T198" i="24"/>
  <c r="S198" i="24"/>
  <c r="R198" i="24"/>
  <c r="Q198" i="24"/>
  <c r="T197" i="24"/>
  <c r="S197" i="24"/>
  <c r="R197" i="24"/>
  <c r="Q197" i="24"/>
  <c r="T196" i="24"/>
  <c r="S196" i="24"/>
  <c r="R196" i="24"/>
  <c r="Q196" i="24"/>
  <c r="T195" i="24"/>
  <c r="S195" i="24"/>
  <c r="R195" i="24"/>
  <c r="Q195" i="24"/>
  <c r="T194" i="24"/>
  <c r="S194" i="24"/>
  <c r="R194" i="24"/>
  <c r="Q194" i="24"/>
  <c r="T193" i="24"/>
  <c r="S193" i="24"/>
  <c r="R193" i="24"/>
  <c r="Q193" i="24"/>
  <c r="T192" i="24"/>
  <c r="S192" i="24"/>
  <c r="R192" i="24"/>
  <c r="Q192" i="24"/>
  <c r="T191" i="24"/>
  <c r="S191" i="24"/>
  <c r="R191" i="24"/>
  <c r="T190" i="24"/>
  <c r="S190" i="24"/>
  <c r="R190" i="24"/>
  <c r="Q190" i="24"/>
  <c r="T189" i="24"/>
  <c r="S189" i="24"/>
  <c r="R189" i="24"/>
  <c r="Q189" i="24"/>
  <c r="T188" i="24"/>
  <c r="S188" i="24"/>
  <c r="R188" i="24"/>
  <c r="Q188" i="24"/>
  <c r="BI59" i="16" l="1"/>
  <c r="BJ59" i="16" s="1"/>
  <c r="BH60" i="16"/>
  <c r="BI60" i="16" l="1"/>
  <c r="BJ60" i="16" s="1"/>
  <c r="BH61" i="16"/>
  <c r="BH62" i="16" l="1"/>
  <c r="BI61" i="16"/>
  <c r="BJ61" i="16" s="1"/>
  <c r="BH63" i="16" l="1"/>
  <c r="BI62" i="16"/>
  <c r="BJ62" i="16" s="1"/>
  <c r="BI63" i="16" l="1"/>
  <c r="BJ63" i="16" s="1"/>
  <c r="BH64" i="16"/>
  <c r="BI64" i="16" l="1"/>
  <c r="BJ64" i="16" s="1"/>
  <c r="BH65" i="16"/>
  <c r="BH66" i="16" l="1"/>
  <c r="BI65" i="16"/>
  <c r="BJ65" i="16" s="1"/>
  <c r="Z167" i="24"/>
  <c r="Y167" i="24"/>
  <c r="X167" i="24"/>
  <c r="W167" i="24"/>
  <c r="V167" i="24"/>
  <c r="U167" i="24"/>
  <c r="T167" i="24"/>
  <c r="S167" i="24"/>
  <c r="R167" i="24"/>
  <c r="Q167" i="24"/>
  <c r="Z166" i="24"/>
  <c r="Y166" i="24"/>
  <c r="X166" i="24"/>
  <c r="W166" i="24"/>
  <c r="V166" i="24"/>
  <c r="U166" i="24"/>
  <c r="T166" i="24"/>
  <c r="S166" i="24"/>
  <c r="R166" i="24"/>
  <c r="Q166" i="24"/>
  <c r="Z165" i="24"/>
  <c r="Y165" i="24"/>
  <c r="X165" i="24"/>
  <c r="W165" i="24"/>
  <c r="V165" i="24"/>
  <c r="U165" i="24"/>
  <c r="T165" i="24"/>
  <c r="S165" i="24"/>
  <c r="R165" i="24"/>
  <c r="Q165" i="24"/>
  <c r="Z164" i="24"/>
  <c r="Y164" i="24"/>
  <c r="X164" i="24"/>
  <c r="W164" i="24"/>
  <c r="V164" i="24"/>
  <c r="U164" i="24"/>
  <c r="T164" i="24"/>
  <c r="S164" i="24"/>
  <c r="R164" i="24"/>
  <c r="Q164" i="24"/>
  <c r="Z163" i="24"/>
  <c r="Y163" i="24"/>
  <c r="X163" i="24"/>
  <c r="W163" i="24"/>
  <c r="V163" i="24"/>
  <c r="U163" i="24"/>
  <c r="T163" i="24"/>
  <c r="S163" i="24"/>
  <c r="R163" i="24"/>
  <c r="Q163" i="24"/>
  <c r="Z162" i="24"/>
  <c r="Y162" i="24"/>
  <c r="X162" i="24"/>
  <c r="W162" i="24"/>
  <c r="V162" i="24"/>
  <c r="U162" i="24"/>
  <c r="T162" i="24"/>
  <c r="S162" i="24"/>
  <c r="R162" i="24"/>
  <c r="Q162" i="24"/>
  <c r="Z161" i="24"/>
  <c r="Y161" i="24"/>
  <c r="X161" i="24"/>
  <c r="W161" i="24"/>
  <c r="V161" i="24"/>
  <c r="U161" i="24"/>
  <c r="T161" i="24"/>
  <c r="S161" i="24"/>
  <c r="R161" i="24"/>
  <c r="Q161" i="24"/>
  <c r="Z160" i="24"/>
  <c r="Y160" i="24"/>
  <c r="X160" i="24"/>
  <c r="W160" i="24"/>
  <c r="V160" i="24"/>
  <c r="U160" i="24"/>
  <c r="T160" i="24"/>
  <c r="S160" i="24"/>
  <c r="R160" i="24"/>
  <c r="Q160" i="24"/>
  <c r="AT149" i="24"/>
  <c r="AS149" i="24"/>
  <c r="AR149" i="24"/>
  <c r="AQ149" i="24"/>
  <c r="AP149" i="24"/>
  <c r="AO149" i="24"/>
  <c r="AN149" i="24"/>
  <c r="AM149" i="24"/>
  <c r="AL149" i="24"/>
  <c r="AK149" i="24"/>
  <c r="AJ149" i="24"/>
  <c r="AI149" i="24"/>
  <c r="AH149" i="24"/>
  <c r="AG149" i="24"/>
  <c r="AF149" i="24"/>
  <c r="AE149" i="24"/>
  <c r="AD149" i="24"/>
  <c r="AC149" i="24"/>
  <c r="AB149" i="24"/>
  <c r="AA149" i="24"/>
  <c r="Z149" i="24"/>
  <c r="Y149" i="24"/>
  <c r="X149" i="24"/>
  <c r="W149" i="24"/>
  <c r="V149" i="24"/>
  <c r="U149" i="24"/>
  <c r="T149" i="24"/>
  <c r="S149" i="24"/>
  <c r="R149" i="24"/>
  <c r="Q149" i="24"/>
  <c r="AT148" i="24"/>
  <c r="AS148" i="24"/>
  <c r="AR148" i="24"/>
  <c r="AQ148" i="24"/>
  <c r="AP148" i="24"/>
  <c r="AO148" i="24"/>
  <c r="AN148" i="24"/>
  <c r="AM148" i="24"/>
  <c r="AL148" i="24"/>
  <c r="AK148" i="24"/>
  <c r="AJ148" i="24"/>
  <c r="AI148" i="24"/>
  <c r="AH148" i="24"/>
  <c r="AG148" i="24"/>
  <c r="AF148" i="24"/>
  <c r="AE148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AT147" i="24"/>
  <c r="AS147" i="24"/>
  <c r="AR147" i="24"/>
  <c r="AQ147" i="24"/>
  <c r="AP147" i="24"/>
  <c r="AO147" i="24"/>
  <c r="AN147" i="24"/>
  <c r="AM147" i="24"/>
  <c r="AL147" i="24"/>
  <c r="AK147" i="24"/>
  <c r="AJ147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AT146" i="24"/>
  <c r="AS146" i="24"/>
  <c r="AR146" i="24"/>
  <c r="AQ146" i="24"/>
  <c r="AP146" i="24"/>
  <c r="AO146" i="24"/>
  <c r="AN146" i="24"/>
  <c r="AM146" i="24"/>
  <c r="AL146" i="24"/>
  <c r="AK146" i="24"/>
  <c r="AJ146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AT145" i="24"/>
  <c r="AS145" i="24"/>
  <c r="AR145" i="24"/>
  <c r="AQ145" i="24"/>
  <c r="AP145" i="24"/>
  <c r="AO145" i="24"/>
  <c r="AN145" i="24"/>
  <c r="AM145" i="24"/>
  <c r="AL145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AT144" i="24"/>
  <c r="AS144" i="24"/>
  <c r="AR144" i="24"/>
  <c r="AQ144" i="24"/>
  <c r="AP144" i="24"/>
  <c r="AO144" i="24"/>
  <c r="AN144" i="24"/>
  <c r="AM144" i="24"/>
  <c r="AL144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AT143" i="24"/>
  <c r="AS143" i="24"/>
  <c r="AR143" i="24"/>
  <c r="AQ143" i="24"/>
  <c r="AP143" i="24"/>
  <c r="AO143" i="24"/>
  <c r="AN143" i="24"/>
  <c r="AM143" i="24"/>
  <c r="AL143" i="24"/>
  <c r="AK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AT142" i="24"/>
  <c r="AS142" i="24"/>
  <c r="AR142" i="24"/>
  <c r="AQ142" i="24"/>
  <c r="AP142" i="24"/>
  <c r="AO142" i="24"/>
  <c r="AN142" i="24"/>
  <c r="AM142" i="24"/>
  <c r="AL142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AT141" i="24"/>
  <c r="AS141" i="24"/>
  <c r="AR141" i="24"/>
  <c r="AQ141" i="24"/>
  <c r="AP141" i="24"/>
  <c r="AO141" i="24"/>
  <c r="AN141" i="24"/>
  <c r="AM141" i="24"/>
  <c r="AL141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AT140" i="24"/>
  <c r="AS140" i="24"/>
  <c r="AR140" i="24"/>
  <c r="AQ140" i="24"/>
  <c r="AP140" i="24"/>
  <c r="AO140" i="24"/>
  <c r="AN140" i="24"/>
  <c r="AM140" i="24"/>
  <c r="AL140" i="24"/>
  <c r="AK140" i="24"/>
  <c r="AJ140" i="24"/>
  <c r="AI140" i="24"/>
  <c r="AH140" i="24"/>
  <c r="AG140" i="24"/>
  <c r="AF140" i="24"/>
  <c r="AE140" i="24"/>
  <c r="AD140" i="24"/>
  <c r="AC140" i="24"/>
  <c r="AB140" i="24"/>
  <c r="AA140" i="24"/>
  <c r="Z140" i="24"/>
  <c r="Y140" i="24"/>
  <c r="X140" i="24"/>
  <c r="W140" i="24"/>
  <c r="V140" i="24"/>
  <c r="U140" i="24"/>
  <c r="T140" i="24"/>
  <c r="S140" i="24"/>
  <c r="R140" i="24"/>
  <c r="Q140" i="24"/>
  <c r="AT139" i="24"/>
  <c r="AS139" i="24"/>
  <c r="AR139" i="24"/>
  <c r="AQ139" i="24"/>
  <c r="AP139" i="24"/>
  <c r="AO139" i="24"/>
  <c r="AN139" i="24"/>
  <c r="AM139" i="24"/>
  <c r="AL139" i="24"/>
  <c r="AK139" i="24"/>
  <c r="AJ139" i="24"/>
  <c r="AI139" i="24"/>
  <c r="AH139" i="24"/>
  <c r="AG139" i="24"/>
  <c r="R182" i="24"/>
  <c r="Q182" i="24"/>
  <c r="R181" i="24"/>
  <c r="Q181" i="24"/>
  <c r="N160" i="24" l="1"/>
  <c r="BI66" i="16"/>
  <c r="BJ66" i="16" s="1"/>
  <c r="BH67" i="16"/>
  <c r="BI67" i="16" l="1"/>
  <c r="BJ67" i="16" s="1"/>
  <c r="BH68" i="16"/>
  <c r="BI68" i="16" l="1"/>
  <c r="BJ68" i="16" s="1"/>
  <c r="BH69" i="16"/>
  <c r="BI69" i="16" l="1"/>
  <c r="BJ69" i="16" s="1"/>
  <c r="BH70" i="16"/>
  <c r="BI70" i="16" l="1"/>
  <c r="BJ70" i="16" s="1"/>
  <c r="BH71" i="16"/>
  <c r="BI71" i="16" l="1"/>
  <c r="BJ71" i="16" s="1"/>
  <c r="BH72" i="16"/>
  <c r="BH73" i="16" l="1"/>
  <c r="BI72" i="16"/>
  <c r="BJ72" i="16" s="1"/>
  <c r="BH74" i="16" l="1"/>
  <c r="BI73" i="16"/>
  <c r="BJ73" i="16" s="1"/>
  <c r="BH75" i="16" l="1"/>
  <c r="BI74" i="16"/>
  <c r="BJ74" i="16" s="1"/>
  <c r="K82" i="27"/>
  <c r="U213" i="27"/>
  <c r="U214" i="27" s="1"/>
  <c r="U215" i="27" s="1"/>
  <c r="U216" i="27" s="1"/>
  <c r="U217" i="27" s="1"/>
  <c r="U218" i="27" s="1"/>
  <c r="U219" i="27" s="1"/>
  <c r="U220" i="27" s="1"/>
  <c r="U221" i="27" s="1"/>
  <c r="U222" i="27" s="1"/>
  <c r="U223" i="27" s="1"/>
  <c r="U224" i="27" s="1"/>
  <c r="U225" i="27" s="1"/>
  <c r="U226" i="27" s="1"/>
  <c r="U227" i="27" s="1"/>
  <c r="U228" i="27" s="1"/>
  <c r="U229" i="27" s="1"/>
  <c r="U230" i="27" s="1"/>
  <c r="U231" i="27" s="1"/>
  <c r="U232" i="27" s="1"/>
  <c r="U233" i="27" s="1"/>
  <c r="U234" i="27" s="1"/>
  <c r="U235" i="27" s="1"/>
  <c r="U236" i="27" s="1"/>
  <c r="U237" i="27" s="1"/>
  <c r="U238" i="27" s="1"/>
  <c r="L104" i="27"/>
  <c r="T213" i="27"/>
  <c r="T214" i="27" s="1"/>
  <c r="T215" i="27" s="1"/>
  <c r="T216" i="27" s="1"/>
  <c r="T217" i="27" s="1"/>
  <c r="T218" i="27" s="1"/>
  <c r="T219" i="27" s="1"/>
  <c r="T220" i="27" s="1"/>
  <c r="T221" i="27" s="1"/>
  <c r="T222" i="27" s="1"/>
  <c r="T223" i="27" s="1"/>
  <c r="T224" i="27" s="1"/>
  <c r="T225" i="27" s="1"/>
  <c r="T226" i="27" s="1"/>
  <c r="T227" i="27" s="1"/>
  <c r="T228" i="27" s="1"/>
  <c r="T229" i="27" s="1"/>
  <c r="T230" i="27" s="1"/>
  <c r="T231" i="27" s="1"/>
  <c r="T232" i="27" s="1"/>
  <c r="T233" i="27" s="1"/>
  <c r="T234" i="27" s="1"/>
  <c r="T235" i="27" s="1"/>
  <c r="T236" i="27" s="1"/>
  <c r="L91" i="27"/>
  <c r="BH76" i="16" l="1"/>
  <c r="BI75" i="16"/>
  <c r="BJ75" i="16" s="1"/>
  <c r="BH77" i="16" l="1"/>
  <c r="BI76" i="16"/>
  <c r="BJ76" i="16" s="1"/>
  <c r="AO15" i="30"/>
  <c r="AJ15" i="30" s="1"/>
  <c r="AG120" i="27"/>
  <c r="AG121" i="27" s="1"/>
  <c r="AG122" i="27" s="1"/>
  <c r="AG123" i="27" s="1"/>
  <c r="AG124" i="27" s="1"/>
  <c r="AG125" i="27" s="1"/>
  <c r="AG126" i="27" s="1"/>
  <c r="AG127" i="27" s="1"/>
  <c r="AG128" i="27" s="1"/>
  <c r="AG129" i="27" s="1"/>
  <c r="AG130" i="27" s="1"/>
  <c r="AG131" i="27" s="1"/>
  <c r="AG132" i="27" s="1"/>
  <c r="AG133" i="27" s="1"/>
  <c r="AG134" i="27" s="1"/>
  <c r="AG135" i="27" s="1"/>
  <c r="AG136" i="27" s="1"/>
  <c r="AG137" i="27" s="1"/>
  <c r="AG138" i="27" s="1"/>
  <c r="AG139" i="27" s="1"/>
  <c r="AG140" i="27" s="1"/>
  <c r="AG141" i="27" s="1"/>
  <c r="AG142" i="27" s="1"/>
  <c r="AG143" i="27" s="1"/>
  <c r="AG144" i="27" s="1"/>
  <c r="AG145" i="27" s="1"/>
  <c r="AG146" i="27" s="1"/>
  <c r="AG147" i="27" s="1"/>
  <c r="AG148" i="27" s="1"/>
  <c r="AG149" i="27" s="1"/>
  <c r="AG150" i="27" s="1"/>
  <c r="AG151" i="27" s="1"/>
  <c r="AG152" i="27" s="1"/>
  <c r="AG153" i="27" s="1"/>
  <c r="AG154" i="27" s="1"/>
  <c r="AG155" i="27" s="1"/>
  <c r="AG156" i="27" s="1"/>
  <c r="AG157" i="27" s="1"/>
  <c r="AG158" i="27" s="1"/>
  <c r="AG159" i="27" s="1"/>
  <c r="AG160" i="27" s="1"/>
  <c r="AG161" i="27" s="1"/>
  <c r="AG162" i="27" s="1"/>
  <c r="AG163" i="27" s="1"/>
  <c r="AG164" i="27" s="1"/>
  <c r="AG165" i="27" s="1"/>
  <c r="AG166" i="27" s="1"/>
  <c r="AG167" i="27" s="1"/>
  <c r="AG168" i="27" s="1"/>
  <c r="R206" i="27"/>
  <c r="R207" i="27" s="1"/>
  <c r="R208" i="27" s="1"/>
  <c r="R209" i="27" s="1"/>
  <c r="R210" i="27" s="1"/>
  <c r="R211" i="27" s="1"/>
  <c r="R212" i="27" s="1"/>
  <c r="R213" i="27" s="1"/>
  <c r="R214" i="27" s="1"/>
  <c r="R215" i="27" s="1"/>
  <c r="R216" i="27" s="1"/>
  <c r="R217" i="27" s="1"/>
  <c r="R218" i="27" s="1"/>
  <c r="R219" i="27" s="1"/>
  <c r="R220" i="27" s="1"/>
  <c r="R221" i="27" s="1"/>
  <c r="R222" i="27" s="1"/>
  <c r="R223" i="27" s="1"/>
  <c r="R224" i="27" s="1"/>
  <c r="R225" i="27" s="1"/>
  <c r="R226" i="27" s="1"/>
  <c r="R227" i="27" s="1"/>
  <c r="R228" i="27" s="1"/>
  <c r="R229" i="27" s="1"/>
  <c r="R230" i="27" s="1"/>
  <c r="R231" i="27" s="1"/>
  <c r="R232" i="27" s="1"/>
  <c r="R233" i="27" s="1"/>
  <c r="R234" i="27" s="1"/>
  <c r="R235" i="27" s="1"/>
  <c r="R236" i="27" s="1"/>
  <c r="R237" i="27" s="1"/>
  <c r="R238" i="27" s="1"/>
  <c r="R239" i="27" s="1"/>
  <c r="R240" i="27" s="1"/>
  <c r="R241" i="27" s="1"/>
  <c r="R242" i="27" s="1"/>
  <c r="R243" i="27" s="1"/>
  <c r="R244" i="27" s="1"/>
  <c r="R245" i="27" s="1"/>
  <c r="R246" i="27" s="1"/>
  <c r="R247" i="27" s="1"/>
  <c r="R248" i="27" s="1"/>
  <c r="R249" i="27" s="1"/>
  <c r="R250" i="27" s="1"/>
  <c r="R251" i="27" s="1"/>
  <c r="R252" i="27" s="1"/>
  <c r="R253" i="27" s="1"/>
  <c r="R254" i="27" s="1"/>
  <c r="R255" i="27" s="1"/>
  <c r="R256" i="27" s="1"/>
  <c r="R257" i="27" s="1"/>
  <c r="R258" i="27" s="1"/>
  <c r="R259" i="27" s="1"/>
  <c r="R260" i="27" s="1"/>
  <c r="R261" i="27" s="1"/>
  <c r="R262" i="27" s="1"/>
  <c r="R263" i="27" s="1"/>
  <c r="R264" i="27" s="1"/>
  <c r="R265" i="27" s="1"/>
  <c r="R266" i="27" s="1"/>
  <c r="R267" i="27" s="1"/>
  <c r="R268" i="27" s="1"/>
  <c r="R269" i="27" s="1"/>
  <c r="R270" i="27" s="1"/>
  <c r="R271" i="27" s="1"/>
  <c r="R272" i="27" s="1"/>
  <c r="R273" i="27" s="1"/>
  <c r="R274" i="27" s="1"/>
  <c r="R275" i="27" s="1"/>
  <c r="R276" i="27" s="1"/>
  <c r="R277" i="27" s="1"/>
  <c r="R278" i="27" s="1"/>
  <c r="R279" i="27" s="1"/>
  <c r="R280" i="27" s="1"/>
  <c r="R281" i="27" s="1"/>
  <c r="R282" i="27" s="1"/>
  <c r="R283" i="27" s="1"/>
  <c r="R284" i="27" s="1"/>
  <c r="R285" i="27" s="1"/>
  <c r="R286" i="27" s="1"/>
  <c r="R287" i="27" s="1"/>
  <c r="R288" i="27" s="1"/>
  <c r="R289" i="27" s="1"/>
  <c r="R290" i="27" s="1"/>
  <c r="R291" i="27" s="1"/>
  <c r="R292" i="27" s="1"/>
  <c r="R293" i="27" s="1"/>
  <c r="R294" i="27" s="1"/>
  <c r="R295" i="27" s="1"/>
  <c r="R296" i="27" s="1"/>
  <c r="R297" i="27" s="1"/>
  <c r="R298" i="27" s="1"/>
  <c r="R299" i="27" s="1"/>
  <c r="R300" i="27" s="1"/>
  <c r="R301" i="27" s="1"/>
  <c r="R302" i="27" s="1"/>
  <c r="R303" i="27" s="1"/>
  <c r="R304" i="27" s="1"/>
  <c r="Q206" i="27"/>
  <c r="Q207" i="27" s="1"/>
  <c r="Q208" i="27" s="1"/>
  <c r="Q209" i="27" s="1"/>
  <c r="Q210" i="27" s="1"/>
  <c r="Q211" i="27" s="1"/>
  <c r="Q212" i="27" s="1"/>
  <c r="Q213" i="27" s="1"/>
  <c r="Q214" i="27" s="1"/>
  <c r="Q215" i="27" s="1"/>
  <c r="Q216" i="27" s="1"/>
  <c r="Q217" i="27" s="1"/>
  <c r="Q218" i="27" s="1"/>
  <c r="Q219" i="27" s="1"/>
  <c r="Q220" i="27" s="1"/>
  <c r="Q221" i="27" s="1"/>
  <c r="Q222" i="27" s="1"/>
  <c r="Q223" i="27" s="1"/>
  <c r="Q224" i="27" s="1"/>
  <c r="Q225" i="27" s="1"/>
  <c r="Q226" i="27" s="1"/>
  <c r="Q227" i="27" s="1"/>
  <c r="Q228" i="27" s="1"/>
  <c r="Q229" i="27" s="1"/>
  <c r="Q230" i="27" s="1"/>
  <c r="Q231" i="27" s="1"/>
  <c r="Q232" i="27" s="1"/>
  <c r="Q233" i="27" s="1"/>
  <c r="Q234" i="27" s="1"/>
  <c r="Q235" i="27" s="1"/>
  <c r="Q236" i="27" s="1"/>
  <c r="Q237" i="27" s="1"/>
  <c r="Q238" i="27" s="1"/>
  <c r="Q239" i="27" s="1"/>
  <c r="Q240" i="27" s="1"/>
  <c r="Q241" i="27" s="1"/>
  <c r="Q242" i="27" s="1"/>
  <c r="P206" i="27"/>
  <c r="P207" i="27" s="1"/>
  <c r="P208" i="27" s="1"/>
  <c r="P209" i="27" s="1"/>
  <c r="P210" i="27" s="1"/>
  <c r="P211" i="27" s="1"/>
  <c r="P212" i="27" s="1"/>
  <c r="P213" i="27" s="1"/>
  <c r="P214" i="27" s="1"/>
  <c r="P215" i="27" s="1"/>
  <c r="P216" i="27" s="1"/>
  <c r="P217" i="27" s="1"/>
  <c r="P218" i="27" s="1"/>
  <c r="P219" i="27" s="1"/>
  <c r="P220" i="27" s="1"/>
  <c r="P221" i="27" s="1"/>
  <c r="P222" i="27" s="1"/>
  <c r="P223" i="27" s="1"/>
  <c r="P224" i="27" s="1"/>
  <c r="P225" i="27" s="1"/>
  <c r="P226" i="27" s="1"/>
  <c r="P227" i="27" s="1"/>
  <c r="P228" i="27" s="1"/>
  <c r="P229" i="27" s="1"/>
  <c r="P230" i="27" s="1"/>
  <c r="P231" i="27" s="1"/>
  <c r="P232" i="27" s="1"/>
  <c r="P233" i="27" s="1"/>
  <c r="P234" i="27" s="1"/>
  <c r="P235" i="27" s="1"/>
  <c r="P236" i="27" s="1"/>
  <c r="P237" i="27" s="1"/>
  <c r="P238" i="27" s="1"/>
  <c r="P239" i="27" s="1"/>
  <c r="P240" i="27" s="1"/>
  <c r="P241" i="27" s="1"/>
  <c r="P242" i="27" s="1"/>
  <c r="P243" i="27" s="1"/>
  <c r="P244" i="27" s="1"/>
  <c r="P245" i="27" s="1"/>
  <c r="P246" i="27" s="1"/>
  <c r="P247" i="27" s="1"/>
  <c r="P248" i="27" s="1"/>
  <c r="P249" i="27" s="1"/>
  <c r="P250" i="27" s="1"/>
  <c r="P251" i="27" s="1"/>
  <c r="P252" i="27" s="1"/>
  <c r="P253" i="27" s="1"/>
  <c r="P254" i="27" s="1"/>
  <c r="P255" i="27" s="1"/>
  <c r="P256" i="27" s="1"/>
  <c r="P257" i="27" s="1"/>
  <c r="P258" i="27" s="1"/>
  <c r="P259" i="27" s="1"/>
  <c r="P260" i="27" s="1"/>
  <c r="P261" i="27" s="1"/>
  <c r="P262" i="27" s="1"/>
  <c r="P263" i="27" s="1"/>
  <c r="P264" i="27" s="1"/>
  <c r="P265" i="27" s="1"/>
  <c r="P266" i="27" s="1"/>
  <c r="P267" i="27" s="1"/>
  <c r="P268" i="27" s="1"/>
  <c r="P269" i="27" s="1"/>
  <c r="P270" i="27" s="1"/>
  <c r="P271" i="27" s="1"/>
  <c r="P272" i="27" s="1"/>
  <c r="P273" i="27" s="1"/>
  <c r="P274" i="27" s="1"/>
  <c r="P275" i="27" s="1"/>
  <c r="P276" i="27" s="1"/>
  <c r="P277" i="27" s="1"/>
  <c r="P278" i="27" s="1"/>
  <c r="P279" i="27" s="1"/>
  <c r="P280" i="27" s="1"/>
  <c r="P281" i="27" s="1"/>
  <c r="P282" i="27" s="1"/>
  <c r="AD120" i="27"/>
  <c r="AD121" i="27" s="1"/>
  <c r="AD122" i="27" s="1"/>
  <c r="AD123" i="27" s="1"/>
  <c r="AD124" i="27" s="1"/>
  <c r="AD125" i="27" s="1"/>
  <c r="AD126" i="27" s="1"/>
  <c r="AD127" i="27" s="1"/>
  <c r="AD128" i="27" s="1"/>
  <c r="AD129" i="27" s="1"/>
  <c r="AD130" i="27" s="1"/>
  <c r="AD131" i="27" s="1"/>
  <c r="AD132" i="27" s="1"/>
  <c r="AD133" i="27" s="1"/>
  <c r="AD134" i="27" s="1"/>
  <c r="AD135" i="27" s="1"/>
  <c r="AD136" i="27" s="1"/>
  <c r="AD137" i="27" s="1"/>
  <c r="AD138" i="27" s="1"/>
  <c r="AD139" i="27" s="1"/>
  <c r="AD140" i="27" s="1"/>
  <c r="AD141" i="27" s="1"/>
  <c r="AD142" i="27" s="1"/>
  <c r="AD143" i="27" s="1"/>
  <c r="AD144" i="27" s="1"/>
  <c r="AD145" i="27" s="1"/>
  <c r="AD146" i="27" s="1"/>
  <c r="AD147" i="27" s="1"/>
  <c r="AD148" i="27" s="1"/>
  <c r="AD149" i="27" s="1"/>
  <c r="AD150" i="27" s="1"/>
  <c r="AD151" i="27" s="1"/>
  <c r="AD152" i="27" s="1"/>
  <c r="AD153" i="27" s="1"/>
  <c r="AD154" i="27" s="1"/>
  <c r="AD155" i="27" s="1"/>
  <c r="AD156" i="27" s="1"/>
  <c r="AD157" i="27" s="1"/>
  <c r="AD158" i="27" s="1"/>
  <c r="AD159" i="27" s="1"/>
  <c r="AD160" i="27" s="1"/>
  <c r="AD161" i="27" s="1"/>
  <c r="AD162" i="27" s="1"/>
  <c r="AD163" i="27" s="1"/>
  <c r="AD164" i="27" s="1"/>
  <c r="AD165" i="27" s="1"/>
  <c r="AD166" i="27" s="1"/>
  <c r="AD167" i="27" s="1"/>
  <c r="AD168" i="27" s="1"/>
  <c r="AD169" i="27" s="1"/>
  <c r="AD170" i="27" s="1"/>
  <c r="AD171" i="27" s="1"/>
  <c r="AD172" i="27" s="1"/>
  <c r="AD173" i="27" s="1"/>
  <c r="AD174" i="27" s="1"/>
  <c r="AD175" i="27" s="1"/>
  <c r="AD176" i="27" s="1"/>
  <c r="AD177" i="27" s="1"/>
  <c r="AD178" i="27" s="1"/>
  <c r="AD179" i="27" s="1"/>
  <c r="AD180" i="27" s="1"/>
  <c r="AD181" i="27" s="1"/>
  <c r="AD182" i="27" s="1"/>
  <c r="AD183" i="27" s="1"/>
  <c r="AD184" i="27" s="1"/>
  <c r="AD185" i="27" s="1"/>
  <c r="AD186" i="27" s="1"/>
  <c r="AD187" i="27" s="1"/>
  <c r="AD188" i="27" s="1"/>
  <c r="AD189" i="27" s="1"/>
  <c r="AD190" i="27" s="1"/>
  <c r="AD191" i="27" s="1"/>
  <c r="AD192" i="27" s="1"/>
  <c r="AD193" i="27" s="1"/>
  <c r="AD194" i="27" s="1"/>
  <c r="AD195" i="27" s="1"/>
  <c r="AD196" i="27" s="1"/>
  <c r="AD197" i="27" s="1"/>
  <c r="AD198" i="27" s="1"/>
  <c r="AD199" i="27" s="1"/>
  <c r="AD200" i="27" s="1"/>
  <c r="AD201" i="27" s="1"/>
  <c r="AD202" i="27" s="1"/>
  <c r="AD203" i="27" s="1"/>
  <c r="AD204" i="27" s="1"/>
  <c r="AD205" i="27" s="1"/>
  <c r="AD206" i="27" s="1"/>
  <c r="AD207" i="27" s="1"/>
  <c r="AD208" i="27" s="1"/>
  <c r="AD209" i="27" s="1"/>
  <c r="AD210" i="27" s="1"/>
  <c r="AD211" i="27" s="1"/>
  <c r="AD212" i="27" s="1"/>
  <c r="AD213" i="27" s="1"/>
  <c r="AD214" i="27" s="1"/>
  <c r="AD215" i="27" s="1"/>
  <c r="AD216" i="27" s="1"/>
  <c r="AD217" i="27" s="1"/>
  <c r="AD218" i="27" s="1"/>
  <c r="AD219" i="27" s="1"/>
  <c r="AD220" i="27" s="1"/>
  <c r="AD221" i="27" s="1"/>
  <c r="AD222" i="27" s="1"/>
  <c r="AD223" i="27" s="1"/>
  <c r="AD224" i="27" s="1"/>
  <c r="AD225" i="27" s="1"/>
  <c r="AD226" i="27" s="1"/>
  <c r="AD227" i="27" s="1"/>
  <c r="AD228" i="27" s="1"/>
  <c r="AD229" i="27" s="1"/>
  <c r="AD230" i="27" s="1"/>
  <c r="AD231" i="27" s="1"/>
  <c r="AD232" i="27" s="1"/>
  <c r="AD233" i="27" s="1"/>
  <c r="AD234" i="27" s="1"/>
  <c r="AD235" i="27" s="1"/>
  <c r="BH78" i="16" l="1"/>
  <c r="BI77" i="16"/>
  <c r="BJ77" i="16" s="1"/>
  <c r="AA123" i="27"/>
  <c r="W119" i="27"/>
  <c r="BI78" i="16" l="1"/>
  <c r="BJ78" i="16" s="1"/>
  <c r="BH79" i="16"/>
  <c r="BH80" i="16" l="1"/>
  <c r="BI79" i="16"/>
  <c r="BJ79" i="16" s="1"/>
  <c r="L110" i="27"/>
  <c r="L112" i="27" s="1"/>
  <c r="AO14" i="30"/>
  <c r="AJ14" i="30" s="1"/>
  <c r="V243" i="24"/>
  <c r="U243" i="24"/>
  <c r="T243" i="24"/>
  <c r="S243" i="24"/>
  <c r="R243" i="24"/>
  <c r="Q243" i="24"/>
  <c r="V242" i="24"/>
  <c r="U242" i="24"/>
  <c r="T242" i="24"/>
  <c r="S242" i="24"/>
  <c r="R242" i="24"/>
  <c r="Q242" i="24"/>
  <c r="BI80" i="16" l="1"/>
  <c r="BJ80" i="16" s="1"/>
  <c r="BH81" i="16"/>
  <c r="V241" i="24"/>
  <c r="U241" i="24"/>
  <c r="T241" i="24"/>
  <c r="S241" i="24"/>
  <c r="R241" i="24"/>
  <c r="Q241" i="24"/>
  <c r="V240" i="24"/>
  <c r="U240" i="24"/>
  <c r="T240" i="24"/>
  <c r="S240" i="24"/>
  <c r="R240" i="24"/>
  <c r="BI81" i="16" l="1"/>
  <c r="BJ81" i="16" s="1"/>
  <c r="BH82" i="16"/>
  <c r="BI82" i="16" l="1"/>
  <c r="BJ82" i="16" s="1"/>
  <c r="BH83" i="16"/>
  <c r="BP232" i="24"/>
  <c r="BP233" i="24" s="1"/>
  <c r="BP234" i="24" s="1"/>
  <c r="BI232" i="24"/>
  <c r="BI233" i="24" s="1"/>
  <c r="BI234" i="24" s="1"/>
  <c r="BG232" i="24"/>
  <c r="BG233" i="24" s="1"/>
  <c r="AI229" i="24"/>
  <c r="AH229" i="24"/>
  <c r="AG229" i="24"/>
  <c r="AF229" i="24"/>
  <c r="Z253" i="24" s="1"/>
  <c r="AE229" i="24"/>
  <c r="Z252" i="24" s="1"/>
  <c r="AD229" i="24"/>
  <c r="Z251" i="24" s="1"/>
  <c r="AC229" i="24"/>
  <c r="Z250" i="24" s="1"/>
  <c r="AB229" i="24"/>
  <c r="Z249" i="24" s="1"/>
  <c r="AA229" i="24"/>
  <c r="Z248" i="24" s="1"/>
  <c r="Z229" i="24"/>
  <c r="Z247" i="24" s="1"/>
  <c r="Y229" i="24"/>
  <c r="Z246" i="24" s="1"/>
  <c r="X229" i="24"/>
  <c r="Z245" i="24" s="1"/>
  <c r="W229" i="24"/>
  <c r="Z244" i="24" s="1"/>
  <c r="V229" i="24"/>
  <c r="Z243" i="24" s="1"/>
  <c r="U229" i="24"/>
  <c r="BI83" i="16" l="1"/>
  <c r="BJ83" i="16" s="1"/>
  <c r="BH84" i="16"/>
  <c r="Z242" i="24"/>
  <c r="P217" i="24"/>
  <c r="BG234" i="24"/>
  <c r="BI235" i="24"/>
  <c r="BP235" i="24"/>
  <c r="BP236" i="24" s="1"/>
  <c r="P216" i="24"/>
  <c r="P214" i="24"/>
  <c r="P213" i="24"/>
  <c r="P212" i="24"/>
  <c r="P211" i="24"/>
  <c r="P210" i="24"/>
  <c r="P209" i="24"/>
  <c r="P208" i="24"/>
  <c r="P207" i="24"/>
  <c r="P205" i="24"/>
  <c r="P204" i="24"/>
  <c r="P203" i="24"/>
  <c r="P201" i="24"/>
  <c r="P200" i="24"/>
  <c r="P199" i="24"/>
  <c r="P198" i="24"/>
  <c r="P197" i="24"/>
  <c r="P196" i="24"/>
  <c r="P195" i="24"/>
  <c r="P194" i="24"/>
  <c r="P193" i="24"/>
  <c r="P192" i="24"/>
  <c r="P189" i="24"/>
  <c r="Y169" i="24"/>
  <c r="X169" i="24"/>
  <c r="W169" i="24"/>
  <c r="V169" i="24"/>
  <c r="U169" i="24"/>
  <c r="T169" i="24"/>
  <c r="S169" i="24"/>
  <c r="R169" i="24"/>
  <c r="Q169" i="24"/>
  <c r="BI84" i="16" l="1"/>
  <c r="BJ84" i="16" s="1"/>
  <c r="BH85" i="16"/>
  <c r="P191" i="24"/>
  <c r="P190" i="24"/>
  <c r="P206" i="24"/>
  <c r="BG235" i="24"/>
  <c r="P202" i="24"/>
  <c r="P215" i="24"/>
  <c r="BI236" i="24"/>
  <c r="BP237" i="24"/>
  <c r="P188" i="24"/>
  <c r="BI85" i="16" l="1"/>
  <c r="BJ85" i="16" s="1"/>
  <c r="BH86" i="16"/>
  <c r="P218" i="24"/>
  <c r="BG236" i="24"/>
  <c r="BI237" i="24"/>
  <c r="BI86" i="16" l="1"/>
  <c r="BJ86" i="16" s="1"/>
  <c r="BH87" i="16"/>
  <c r="BG237" i="24"/>
  <c r="AF139" i="24"/>
  <c r="AE139" i="24"/>
  <c r="AD139" i="24"/>
  <c r="AC139" i="24"/>
  <c r="AB139" i="24"/>
  <c r="AA139" i="24"/>
  <c r="Z139" i="24"/>
  <c r="Y139" i="24"/>
  <c r="X139" i="24"/>
  <c r="W139" i="24"/>
  <c r="U139" i="24"/>
  <c r="T139" i="24"/>
  <c r="S139" i="24"/>
  <c r="BI87" i="16" l="1"/>
  <c r="BJ87" i="16" s="1"/>
  <c r="BH88" i="16"/>
  <c r="R139" i="24"/>
  <c r="Q139" i="24"/>
  <c r="BH89" i="16" l="1"/>
  <c r="BI88" i="16"/>
  <c r="BJ88" i="16" s="1"/>
  <c r="BH90" i="16" l="1"/>
  <c r="BI89" i="16"/>
  <c r="BJ89" i="16" s="1"/>
  <c r="AO11" i="30"/>
  <c r="AJ11" i="30" s="1"/>
  <c r="R57" i="24"/>
  <c r="Q57" i="24" s="1"/>
  <c r="N57" i="24" s="1"/>
  <c r="BI90" i="16" l="1"/>
  <c r="BJ90" i="16" s="1"/>
  <c r="BH91" i="16"/>
  <c r="R53" i="24"/>
  <c r="Q53" i="24" s="1"/>
  <c r="N53" i="24" s="1"/>
  <c r="R52" i="24"/>
  <c r="Q52" i="24" s="1"/>
  <c r="N52" i="24" s="1"/>
  <c r="R51" i="24"/>
  <c r="Q51" i="24" s="1"/>
  <c r="N51" i="24" s="1"/>
  <c r="R50" i="24"/>
  <c r="Q50" i="24" s="1"/>
  <c r="N50" i="24" s="1"/>
  <c r="R49" i="24"/>
  <c r="Q49" i="24" s="1"/>
  <c r="N49" i="24" s="1"/>
  <c r="R48" i="24"/>
  <c r="Q48" i="24" s="1"/>
  <c r="N48" i="24" s="1"/>
  <c r="R47" i="24"/>
  <c r="Q47" i="24" s="1"/>
  <c r="N47" i="24" s="1"/>
  <c r="R46" i="24"/>
  <c r="Q46" i="24" s="1"/>
  <c r="N46" i="24" s="1"/>
  <c r="R45" i="24"/>
  <c r="Q45" i="24" s="1"/>
  <c r="N45" i="24" s="1"/>
  <c r="R44" i="24"/>
  <c r="Q44" i="24" s="1"/>
  <c r="N44" i="24" s="1"/>
  <c r="R43" i="24"/>
  <c r="Q43" i="24" s="1"/>
  <c r="N43" i="24" s="1"/>
  <c r="R42" i="24"/>
  <c r="Q42" i="24" s="1"/>
  <c r="N42" i="24" s="1"/>
  <c r="R41" i="24"/>
  <c r="Q41" i="24" s="1"/>
  <c r="N41" i="24" s="1"/>
  <c r="BI91" i="16" l="1"/>
  <c r="BJ91" i="16" s="1"/>
  <c r="BH92" i="16"/>
  <c r="BI92" i="16" l="1"/>
  <c r="BJ92" i="16" s="1"/>
  <c r="BH93" i="16"/>
  <c r="Q32" i="24"/>
  <c r="Q31" i="24"/>
  <c r="BH94" i="16" l="1"/>
  <c r="BI93" i="16"/>
  <c r="BJ93" i="16" s="1"/>
  <c r="Q30" i="24"/>
  <c r="Q29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Q16" i="24"/>
  <c r="Q15" i="24"/>
  <c r="R10" i="24"/>
  <c r="Q10" i="24" s="1"/>
  <c r="N10" i="24" s="1"/>
  <c r="R9" i="24"/>
  <c r="Q9" i="24" s="1"/>
  <c r="N9" i="24" s="1"/>
  <c r="R8" i="24"/>
  <c r="Q8" i="24" s="1"/>
  <c r="N8" i="24" s="1"/>
  <c r="R7" i="24"/>
  <c r="Q7" i="24" s="1"/>
  <c r="N7" i="24" s="1"/>
  <c r="R5" i="24"/>
  <c r="Q5" i="24" s="1"/>
  <c r="N5" i="24" s="1"/>
  <c r="R4" i="24"/>
  <c r="Q4" i="24" s="1"/>
  <c r="N4" i="24" s="1"/>
  <c r="BH95" i="16" l="1"/>
  <c r="BI94" i="16"/>
  <c r="BJ94" i="16" s="1"/>
  <c r="L13" i="24"/>
  <c r="B19" i="24"/>
  <c r="L19" i="24" s="1"/>
  <c r="N19" i="24" s="1"/>
  <c r="B24" i="24" s="1"/>
  <c r="L24" i="24" s="1"/>
  <c r="N24" i="24" s="1"/>
  <c r="B29" i="24" s="1"/>
  <c r="L29" i="24" s="1"/>
  <c r="N29" i="24" s="1"/>
  <c r="B18" i="24"/>
  <c r="L18" i="24" s="1"/>
  <c r="N18" i="24" s="1"/>
  <c r="B23" i="24" s="1"/>
  <c r="L23" i="24" s="1"/>
  <c r="N23" i="24" s="1"/>
  <c r="B28" i="24" s="1"/>
  <c r="L28" i="24" s="1"/>
  <c r="N28" i="24" s="1"/>
  <c r="B17" i="24"/>
  <c r="L17" i="24" s="1"/>
  <c r="N17" i="24" s="1"/>
  <c r="B22" i="24" s="1"/>
  <c r="L22" i="24" s="1"/>
  <c r="N22" i="24" s="1"/>
  <c r="B27" i="24" s="1"/>
  <c r="L27" i="24" s="1"/>
  <c r="N27" i="24" s="1"/>
  <c r="B32" i="24" s="1"/>
  <c r="L32" i="24" s="1"/>
  <c r="N32" i="24" s="1"/>
  <c r="B16" i="24"/>
  <c r="L16" i="24" s="1"/>
  <c r="N16" i="24" s="1"/>
  <c r="B21" i="24" s="1"/>
  <c r="L21" i="24" s="1"/>
  <c r="N21" i="24" s="1"/>
  <c r="B26" i="24" s="1"/>
  <c r="L26" i="24" s="1"/>
  <c r="N26" i="24" s="1"/>
  <c r="B31" i="24" s="1"/>
  <c r="L31" i="24" s="1"/>
  <c r="N31" i="24" s="1"/>
  <c r="B15" i="24"/>
  <c r="L15" i="24" s="1"/>
  <c r="N15" i="24" s="1"/>
  <c r="B20" i="24" s="1"/>
  <c r="L20" i="24" s="1"/>
  <c r="N20" i="24" s="1"/>
  <c r="B25" i="24" s="1"/>
  <c r="L25" i="24" s="1"/>
  <c r="N25" i="24" s="1"/>
  <c r="B30" i="24" s="1"/>
  <c r="L30" i="24" s="1"/>
  <c r="N30" i="24" s="1"/>
  <c r="BI95" i="16" l="1"/>
  <c r="BJ95" i="16" s="1"/>
  <c r="BH96" i="16"/>
  <c r="L33" i="24"/>
  <c r="BI10" i="16"/>
  <c r="BH97" i="16" l="1"/>
  <c r="BI96" i="16"/>
  <c r="BJ96" i="16" s="1"/>
  <c r="AO10" i="30"/>
  <c r="AJ10" i="30" s="1"/>
  <c r="BI6" i="16"/>
  <c r="BI5" i="16"/>
  <c r="BI4" i="16"/>
  <c r="BI3" i="16"/>
  <c r="W120" i="27"/>
  <c r="W121" i="27" s="1"/>
  <c r="W122" i="27" s="1"/>
  <c r="W123" i="27" s="1"/>
  <c r="W124" i="27" s="1"/>
  <c r="W125" i="27" s="1"/>
  <c r="W126" i="27" s="1"/>
  <c r="W127" i="27" s="1"/>
  <c r="W128" i="27" s="1"/>
  <c r="W129" i="27" s="1"/>
  <c r="W130" i="27" s="1"/>
  <c r="W131" i="27" s="1"/>
  <c r="W132" i="27" s="1"/>
  <c r="W133" i="27" s="1"/>
  <c r="W134" i="27" s="1"/>
  <c r="W135" i="27" s="1"/>
  <c r="W136" i="27" s="1"/>
  <c r="W137" i="27" s="1"/>
  <c r="W138" i="27" s="1"/>
  <c r="W139" i="27" s="1"/>
  <c r="W140" i="27" s="1"/>
  <c r="W141" i="27" s="1"/>
  <c r="W142" i="27" s="1"/>
  <c r="W143" i="27" s="1"/>
  <c r="W144" i="27" s="1"/>
  <c r="W145" i="27" s="1"/>
  <c r="W146" i="27" s="1"/>
  <c r="W147" i="27" s="1"/>
  <c r="W148" i="27" s="1"/>
  <c r="W149" i="27" s="1"/>
  <c r="W150" i="27" s="1"/>
  <c r="W151" i="27" s="1"/>
  <c r="W152" i="27" s="1"/>
  <c r="W153" i="27" s="1"/>
  <c r="W154" i="27" s="1"/>
  <c r="W155" i="27" s="1"/>
  <c r="W156" i="27" s="1"/>
  <c r="W157" i="27" s="1"/>
  <c r="W158" i="27" s="1"/>
  <c r="W159" i="27" s="1"/>
  <c r="W160" i="27" s="1"/>
  <c r="W161" i="27" s="1"/>
  <c r="W162" i="27" s="1"/>
  <c r="W163" i="27" s="1"/>
  <c r="W164" i="27" s="1"/>
  <c r="W165" i="27" s="1"/>
  <c r="W166" i="27" s="1"/>
  <c r="W167" i="27" s="1"/>
  <c r="W168" i="27" s="1"/>
  <c r="W169" i="27" s="1"/>
  <c r="W170" i="27" s="1"/>
  <c r="W171" i="27" s="1"/>
  <c r="W172" i="27" s="1"/>
  <c r="W173" i="27" s="1"/>
  <c r="W174" i="27" s="1"/>
  <c r="W175" i="27" s="1"/>
  <c r="W176" i="27" s="1"/>
  <c r="W177" i="27" s="1"/>
  <c r="W178" i="27" s="1"/>
  <c r="W179" i="27" s="1"/>
  <c r="W180" i="27" s="1"/>
  <c r="W181" i="27" s="1"/>
  <c r="W182" i="27" s="1"/>
  <c r="W183" i="27" s="1"/>
  <c r="W184" i="27" s="1"/>
  <c r="W185" i="27" s="1"/>
  <c r="W186" i="27" s="1"/>
  <c r="W187" i="27" s="1"/>
  <c r="W188" i="27" s="1"/>
  <c r="W189" i="27" s="1"/>
  <c r="W190" i="27" s="1"/>
  <c r="W191" i="27" s="1"/>
  <c r="W192" i="27" s="1"/>
  <c r="W193" i="27" s="1"/>
  <c r="W194" i="27" s="1"/>
  <c r="W195" i="27" s="1"/>
  <c r="W196" i="27" s="1"/>
  <c r="W197" i="27" s="1"/>
  <c r="W198" i="27" s="1"/>
  <c r="W199" i="27" s="1"/>
  <c r="W200" i="27" s="1"/>
  <c r="W201" i="27" s="1"/>
  <c r="W202" i="27" s="1"/>
  <c r="W203" i="27" s="1"/>
  <c r="W204" i="27" s="1"/>
  <c r="W205" i="27" s="1"/>
  <c r="W206" i="27" s="1"/>
  <c r="W207" i="27" s="1"/>
  <c r="W208" i="27" s="1"/>
  <c r="W209" i="27" s="1"/>
  <c r="W210" i="27" s="1"/>
  <c r="W211" i="27" s="1"/>
  <c r="W212" i="27" s="1"/>
  <c r="W213" i="27" s="1"/>
  <c r="W214" i="27" s="1"/>
  <c r="W215" i="27" s="1"/>
  <c r="W216" i="27" s="1"/>
  <c r="AA124" i="27"/>
  <c r="AA125" i="27" s="1"/>
  <c r="AA126" i="27" s="1"/>
  <c r="AA127" i="27" s="1"/>
  <c r="AA128" i="27" s="1"/>
  <c r="AA129" i="27" s="1"/>
  <c r="AA130" i="27" s="1"/>
  <c r="AA131" i="27" s="1"/>
  <c r="AA132" i="27" s="1"/>
  <c r="AA133" i="27" s="1"/>
  <c r="AA134" i="27" s="1"/>
  <c r="AA135" i="27" s="1"/>
  <c r="AA136" i="27" s="1"/>
  <c r="AA137" i="27" s="1"/>
  <c r="AA138" i="27" s="1"/>
  <c r="AA139" i="27" s="1"/>
  <c r="AA140" i="27" s="1"/>
  <c r="AA141" i="27" s="1"/>
  <c r="AA142" i="27" s="1"/>
  <c r="AA143" i="27" s="1"/>
  <c r="AA144" i="27" s="1"/>
  <c r="AA145" i="27" s="1"/>
  <c r="AA146" i="27" s="1"/>
  <c r="AA147" i="27" s="1"/>
  <c r="AA148" i="27" s="1"/>
  <c r="AA149" i="27" s="1"/>
  <c r="AA150" i="27" s="1"/>
  <c r="AA151" i="27" s="1"/>
  <c r="AA152" i="27" s="1"/>
  <c r="AA153" i="27" s="1"/>
  <c r="AA154" i="27" s="1"/>
  <c r="AA155" i="27" s="1"/>
  <c r="AA156" i="27" s="1"/>
  <c r="AA157" i="27" s="1"/>
  <c r="AA158" i="27" s="1"/>
  <c r="AA159" i="27" s="1"/>
  <c r="AA160" i="27" s="1"/>
  <c r="AA161" i="27" s="1"/>
  <c r="AA162" i="27" s="1"/>
  <c r="AA163" i="27" s="1"/>
  <c r="AA164" i="27" s="1"/>
  <c r="AA165" i="27" s="1"/>
  <c r="AA166" i="27" s="1"/>
  <c r="AA167" i="27" s="1"/>
  <c r="AA168" i="27" s="1"/>
  <c r="AA169" i="27" s="1"/>
  <c r="AA170" i="27" s="1"/>
  <c r="AA171" i="27" s="1"/>
  <c r="AA172" i="27" s="1"/>
  <c r="AA173" i="27" s="1"/>
  <c r="AA174" i="27" s="1"/>
  <c r="AA175" i="27" s="1"/>
  <c r="AA176" i="27" s="1"/>
  <c r="AA177" i="27" s="1"/>
  <c r="AA178" i="27" s="1"/>
  <c r="AA179" i="27" s="1"/>
  <c r="AA180" i="27" s="1"/>
  <c r="AA181" i="27" s="1"/>
  <c r="AA182" i="27" s="1"/>
  <c r="AA183" i="27" s="1"/>
  <c r="AA184" i="27" s="1"/>
  <c r="AA185" i="27" s="1"/>
  <c r="AA186" i="27" s="1"/>
  <c r="AA187" i="27" s="1"/>
  <c r="AA188" i="27" s="1"/>
  <c r="AA189" i="27" s="1"/>
  <c r="AA190" i="27" s="1"/>
  <c r="AA191" i="27" s="1"/>
  <c r="AA192" i="27" s="1"/>
  <c r="AA193" i="27" s="1"/>
  <c r="AA194" i="27" s="1"/>
  <c r="AA195" i="27" s="1"/>
  <c r="AA196" i="27" s="1"/>
  <c r="AA197" i="27" s="1"/>
  <c r="AA198" i="27" s="1"/>
  <c r="AA199" i="27" s="1"/>
  <c r="AA200" i="27" s="1"/>
  <c r="AA201" i="27" s="1"/>
  <c r="AA202" i="27" s="1"/>
  <c r="AA203" i="27" s="1"/>
  <c r="AA204" i="27" s="1"/>
  <c r="AA205" i="27" s="1"/>
  <c r="AA206" i="27" s="1"/>
  <c r="AA207" i="27" s="1"/>
  <c r="AA208" i="27" s="1"/>
  <c r="AA209" i="27" s="1"/>
  <c r="AA210" i="27" s="1"/>
  <c r="AA211" i="27" s="1"/>
  <c r="AA212" i="27" s="1"/>
  <c r="AA213" i="27" s="1"/>
  <c r="AA214" i="27" s="1"/>
  <c r="AA215" i="27" s="1"/>
  <c r="AA216" i="27" s="1"/>
  <c r="BI97" i="16" l="1"/>
  <c r="BJ97" i="16" s="1"/>
  <c r="BH98" i="16"/>
  <c r="BI8" i="16"/>
  <c r="BH99" i="16" l="1"/>
  <c r="BI98" i="16"/>
  <c r="BJ98" i="16" s="1"/>
  <c r="BH100" i="16" l="1"/>
  <c r="BI99" i="16"/>
  <c r="BJ99" i="16" s="1"/>
  <c r="BI12" i="16"/>
  <c r="BI15" i="16"/>
  <c r="BI16" i="16"/>
  <c r="BG11" i="16"/>
  <c r="AB11" i="16" s="1"/>
  <c r="BI100" i="16" l="1"/>
  <c r="BJ100" i="16" s="1"/>
  <c r="BH101" i="16"/>
  <c r="BI18" i="16"/>
  <c r="L114" i="27"/>
  <c r="BI17" i="16"/>
  <c r="BI101" i="16" l="1"/>
  <c r="BJ101" i="16" s="1"/>
  <c r="BH102" i="16"/>
  <c r="BI23" i="16"/>
  <c r="BI24" i="16"/>
  <c r="BI11" i="16"/>
  <c r="BI102" i="16" l="1"/>
  <c r="BJ102" i="16" s="1"/>
  <c r="BH103" i="16"/>
  <c r="I15" i="16"/>
  <c r="I27" i="16"/>
  <c r="I26" i="16"/>
  <c r="I25" i="16"/>
  <c r="W217" i="27"/>
  <c r="W218" i="27" s="1"/>
  <c r="W219" i="27" s="1"/>
  <c r="W220" i="27" s="1"/>
  <c r="W221" i="27" s="1"/>
  <c r="W222" i="27" s="1"/>
  <c r="W223" i="27" s="1"/>
  <c r="W224" i="27" s="1"/>
  <c r="W225" i="27" s="1"/>
  <c r="W226" i="27" s="1"/>
  <c r="W227" i="27" s="1"/>
  <c r="W228" i="27" s="1"/>
  <c r="W229" i="27" s="1"/>
  <c r="W230" i="27" s="1"/>
  <c r="W231" i="27" s="1"/>
  <c r="W232" i="27" s="1"/>
  <c r="BI103" i="16" l="1"/>
  <c r="BJ103" i="16" s="1"/>
  <c r="BH104" i="16"/>
  <c r="T2" i="16"/>
  <c r="T25" i="16"/>
  <c r="BI104" i="16" l="1"/>
  <c r="BJ104" i="16" s="1"/>
  <c r="BH105" i="16"/>
  <c r="BH106" i="16" l="1"/>
  <c r="BI105" i="16"/>
  <c r="BJ105" i="16" s="1"/>
  <c r="BI106" i="16" l="1"/>
  <c r="BJ106" i="16" s="1"/>
  <c r="BH107" i="16"/>
  <c r="BH108" i="16" l="1"/>
  <c r="BI107" i="16"/>
  <c r="BJ107" i="16" s="1"/>
  <c r="BI108" i="16" l="1"/>
  <c r="BJ108" i="16" s="1"/>
  <c r="BH109" i="16"/>
  <c r="AO8" i="30"/>
  <c r="AB241" i="24"/>
  <c r="BP238" i="24"/>
  <c r="BP239" i="24" s="1"/>
  <c r="BP240" i="24" s="1"/>
  <c r="BP241" i="24" s="1"/>
  <c r="BP242" i="24" s="1"/>
  <c r="BP243" i="24" s="1"/>
  <c r="BP244" i="24" s="1"/>
  <c r="BP245" i="24" s="1"/>
  <c r="BP246" i="24" s="1"/>
  <c r="BP247" i="24" s="1"/>
  <c r="BP248" i="24" s="1"/>
  <c r="BP249" i="24" s="1"/>
  <c r="BP250" i="24" s="1"/>
  <c r="BP251" i="24" s="1"/>
  <c r="BP252" i="24" s="1"/>
  <c r="BP253" i="24" s="1"/>
  <c r="BP254" i="24" s="1"/>
  <c r="BP255" i="24" s="1"/>
  <c r="BP256" i="24" s="1"/>
  <c r="BP257" i="24" s="1"/>
  <c r="BP258" i="24" s="1"/>
  <c r="BP259" i="24" s="1"/>
  <c r="BP260" i="24" s="1"/>
  <c r="BP261" i="24" s="1"/>
  <c r="BP262" i="24" s="1"/>
  <c r="BP263" i="24" s="1"/>
  <c r="BP264" i="24" s="1"/>
  <c r="BP265" i="24" s="1"/>
  <c r="BP266" i="24" s="1"/>
  <c r="BP267" i="24" s="1"/>
  <c r="BP268" i="24" s="1"/>
  <c r="BP269" i="24" s="1"/>
  <c r="BP270" i="24" s="1"/>
  <c r="BP271" i="24" s="1"/>
  <c r="BP272" i="24" s="1"/>
  <c r="BP273" i="24" s="1"/>
  <c r="BP274" i="24" s="1"/>
  <c r="BP275" i="24" s="1"/>
  <c r="BP276" i="24" s="1"/>
  <c r="BP277" i="24" s="1"/>
  <c r="BP278" i="24" s="1"/>
  <c r="BP279" i="24" s="1"/>
  <c r="BP280" i="24" s="1"/>
  <c r="BI238" i="24"/>
  <c r="BI239" i="24" s="1"/>
  <c r="BI240" i="24" s="1"/>
  <c r="BI241" i="24" s="1"/>
  <c r="BI242" i="24" s="1"/>
  <c r="BI243" i="24" s="1"/>
  <c r="BI244" i="24" s="1"/>
  <c r="BI245" i="24" s="1"/>
  <c r="BI246" i="24" s="1"/>
  <c r="BI247" i="24" s="1"/>
  <c r="BI248" i="24" s="1"/>
  <c r="BI249" i="24" s="1"/>
  <c r="BI250" i="24" s="1"/>
  <c r="BI251" i="24" s="1"/>
  <c r="BI252" i="24" s="1"/>
  <c r="BI253" i="24" s="1"/>
  <c r="BI254" i="24" s="1"/>
  <c r="BI255" i="24" s="1"/>
  <c r="BI256" i="24" s="1"/>
  <c r="BI257" i="24" s="1"/>
  <c r="BI258" i="24" s="1"/>
  <c r="BI259" i="24" s="1"/>
  <c r="BI260" i="24" s="1"/>
  <c r="BI261" i="24" s="1"/>
  <c r="BI262" i="24" s="1"/>
  <c r="BI263" i="24" s="1"/>
  <c r="BI264" i="24" s="1"/>
  <c r="BI265" i="24" s="1"/>
  <c r="BI266" i="24" s="1"/>
  <c r="BI267" i="24" s="1"/>
  <c r="BI268" i="24" s="1"/>
  <c r="BI269" i="24" s="1"/>
  <c r="BI270" i="24" s="1"/>
  <c r="BI271" i="24" s="1"/>
  <c r="BG238" i="24"/>
  <c r="BG239" i="24" s="1"/>
  <c r="BG240" i="24" s="1"/>
  <c r="BG241" i="24" s="1"/>
  <c r="BG242" i="24" s="1"/>
  <c r="BG243" i="24" s="1"/>
  <c r="BG244" i="24" s="1"/>
  <c r="BG245" i="24" s="1"/>
  <c r="BG246" i="24" s="1"/>
  <c r="BG247" i="24" s="1"/>
  <c r="BG248" i="24" s="1"/>
  <c r="BG249" i="24" s="1"/>
  <c r="BG250" i="24" s="1"/>
  <c r="BG251" i="24" s="1"/>
  <c r="BG252" i="24" s="1"/>
  <c r="BG253" i="24" s="1"/>
  <c r="BG254" i="24" s="1"/>
  <c r="BG255" i="24" s="1"/>
  <c r="BG256" i="24" s="1"/>
  <c r="BG257" i="24" s="1"/>
  <c r="BG258" i="24" s="1"/>
  <c r="BG259" i="24" s="1"/>
  <c r="BG260" i="24" s="1"/>
  <c r="BG261" i="24" s="1"/>
  <c r="BG262" i="24" s="1"/>
  <c r="BG263" i="24" s="1"/>
  <c r="BG264" i="24" s="1"/>
  <c r="BG265" i="24" s="1"/>
  <c r="BG266" i="24" s="1"/>
  <c r="BG267" i="24" s="1"/>
  <c r="BG268" i="24" s="1"/>
  <c r="BG269" i="24" s="1"/>
  <c r="BG270" i="24" s="1"/>
  <c r="BG271" i="24" s="1"/>
  <c r="BG272" i="24" s="1"/>
  <c r="BG273" i="24" s="1"/>
  <c r="BG274" i="24" s="1"/>
  <c r="BG275" i="24" s="1"/>
  <c r="BG276" i="24" s="1"/>
  <c r="BG277" i="24" s="1"/>
  <c r="BG278" i="24" s="1"/>
  <c r="BG279" i="24" s="1"/>
  <c r="BG280" i="24" s="1"/>
  <c r="BG281" i="24" s="1"/>
  <c r="BG282" i="24" s="1"/>
  <c r="BG283" i="24" s="1"/>
  <c r="BG284" i="24" s="1"/>
  <c r="BG285" i="24" s="1"/>
  <c r="BG286" i="24" s="1"/>
  <c r="BG287" i="24" s="1"/>
  <c r="BG288" i="24" s="1"/>
  <c r="BG289" i="24" s="1"/>
  <c r="BG290" i="24" s="1"/>
  <c r="BG291" i="24" s="1"/>
  <c r="BG292" i="24" s="1"/>
  <c r="BG293" i="24" s="1"/>
  <c r="BG294" i="24" s="1"/>
  <c r="BG295" i="24" s="1"/>
  <c r="BG296" i="24" s="1"/>
  <c r="BG297" i="24" s="1"/>
  <c r="BG298" i="24" s="1"/>
  <c r="BG299" i="24" s="1"/>
  <c r="BG300" i="24" s="1"/>
  <c r="BG301" i="24" s="1"/>
  <c r="BG302" i="24" s="1"/>
  <c r="BG303" i="24" s="1"/>
  <c r="BG304" i="24" s="1"/>
  <c r="BG305" i="24" s="1"/>
  <c r="BG306" i="24" s="1"/>
  <c r="BG307" i="24" s="1"/>
  <c r="BG308" i="24" s="1"/>
  <c r="BG309" i="24" s="1"/>
  <c r="BG310" i="24" s="1"/>
  <c r="BG311" i="24" s="1"/>
  <c r="BG312" i="24" s="1"/>
  <c r="BG313" i="24" s="1"/>
  <c r="BG314" i="24" s="1"/>
  <c r="BG315" i="24" s="1"/>
  <c r="BG316" i="24" s="1"/>
  <c r="BG317" i="24" s="1"/>
  <c r="BG318" i="24" s="1"/>
  <c r="BG319" i="24" s="1"/>
  <c r="BG320" i="24" s="1"/>
  <c r="BG321" i="24" s="1"/>
  <c r="BG322" i="24" s="1"/>
  <c r="BG323" i="24" s="1"/>
  <c r="BG324" i="24" s="1"/>
  <c r="BG325" i="24" s="1"/>
  <c r="BG326" i="24" s="1"/>
  <c r="BG327" i="24" s="1"/>
  <c r="BG328" i="24" s="1"/>
  <c r="BG329" i="24" s="1"/>
  <c r="BG330" i="24" s="1"/>
  <c r="BG331" i="24" s="1"/>
  <c r="BG332" i="24" s="1"/>
  <c r="BG333" i="24" s="1"/>
  <c r="BG334" i="24" s="1"/>
  <c r="BG335" i="24" s="1"/>
  <c r="BG336" i="24" s="1"/>
  <c r="BG337" i="24" s="1"/>
  <c r="BG338" i="24" s="1"/>
  <c r="BG339" i="24" s="1"/>
  <c r="BG340" i="24" s="1"/>
  <c r="BG341" i="24" s="1"/>
  <c r="BG342" i="24" s="1"/>
  <c r="BG343" i="24" s="1"/>
  <c r="BG344" i="24" s="1"/>
  <c r="BG345" i="24" s="1"/>
  <c r="BG346" i="24" s="1"/>
  <c r="BG347" i="24" s="1"/>
  <c r="BG348" i="24" s="1"/>
  <c r="BG349" i="24" s="1"/>
  <c r="BG350" i="24" s="1"/>
  <c r="BI109" i="16" l="1"/>
  <c r="BJ109" i="16" s="1"/>
  <c r="BH110" i="16"/>
  <c r="N260" i="24"/>
  <c r="BH111" i="16" l="1"/>
  <c r="BI110" i="16"/>
  <c r="BJ110" i="16" s="1"/>
  <c r="AO12" i="30"/>
  <c r="AJ12" i="30" s="1"/>
  <c r="BH112" i="16" l="1"/>
  <c r="BI111" i="16"/>
  <c r="BJ111" i="16" s="1"/>
  <c r="BI112" i="16" l="1"/>
  <c r="BJ112" i="16" s="1"/>
  <c r="BH113" i="16"/>
  <c r="BI113" i="16" l="1"/>
  <c r="BJ113" i="16" s="1"/>
  <c r="BH114" i="16"/>
  <c r="BI114" i="16" l="1"/>
  <c r="BJ114" i="16" s="1"/>
  <c r="BH115" i="16"/>
  <c r="BH116" i="16" l="1"/>
  <c r="BI115" i="16"/>
  <c r="BJ115" i="16" s="1"/>
  <c r="BH117" i="16" l="1"/>
  <c r="BI116" i="16"/>
  <c r="BJ116" i="16" s="1"/>
  <c r="BH118" i="16" l="1"/>
  <c r="BI117" i="16"/>
  <c r="BJ117" i="16" s="1"/>
  <c r="BH119" i="16" l="1"/>
  <c r="BI118" i="16"/>
  <c r="BJ118" i="16" s="1"/>
  <c r="BH120" i="16" l="1"/>
  <c r="BI119" i="16"/>
  <c r="BJ119" i="16" s="1"/>
  <c r="BH121" i="16" l="1"/>
  <c r="BI120" i="16"/>
  <c r="BJ120" i="16" s="1"/>
  <c r="BH122" i="16" l="1"/>
  <c r="BI121" i="16"/>
  <c r="BJ121" i="16" s="1"/>
  <c r="BH123" i="16" l="1"/>
  <c r="BI122" i="16"/>
  <c r="BJ122" i="16" s="1"/>
  <c r="BH124" i="16" l="1"/>
  <c r="BI123" i="16"/>
  <c r="BJ123" i="16" s="1"/>
  <c r="BH125" i="16" l="1"/>
  <c r="BI124" i="16"/>
  <c r="BJ124" i="16" s="1"/>
  <c r="BH126" i="16" l="1"/>
  <c r="BI125" i="16"/>
  <c r="BJ125" i="16" s="1"/>
  <c r="BH127" i="16" l="1"/>
  <c r="BI126" i="16"/>
  <c r="BJ126" i="16" s="1"/>
  <c r="BH128" i="16" l="1"/>
  <c r="BI127" i="16"/>
  <c r="BJ127" i="16" s="1"/>
  <c r="BH129" i="16" l="1"/>
  <c r="BI128" i="16"/>
  <c r="BJ128" i="16" s="1"/>
  <c r="BH130" i="16" l="1"/>
  <c r="BI129" i="16"/>
  <c r="BJ129" i="16" s="1"/>
  <c r="BH131" i="16" l="1"/>
  <c r="BI130" i="16"/>
  <c r="BJ130" i="16" s="1"/>
  <c r="BH132" i="16" l="1"/>
  <c r="BI131" i="16"/>
  <c r="BJ131" i="16" s="1"/>
  <c r="BH133" i="16" l="1"/>
  <c r="BI132" i="16"/>
  <c r="BJ132" i="16" s="1"/>
  <c r="BH134" i="16" l="1"/>
  <c r="BI133" i="16"/>
  <c r="BJ133" i="16" s="1"/>
  <c r="BH135" i="16" l="1"/>
  <c r="BI134" i="16"/>
  <c r="BJ134" i="16" s="1"/>
  <c r="BH136" i="16" l="1"/>
  <c r="BI135" i="16"/>
  <c r="BJ135" i="16" s="1"/>
  <c r="BH137" i="16" l="1"/>
  <c r="BI136" i="16"/>
  <c r="BJ136" i="16" s="1"/>
  <c r="BH138" i="16" l="1"/>
  <c r="BI137" i="16"/>
  <c r="BJ137" i="16" s="1"/>
  <c r="BH139" i="16" l="1"/>
  <c r="BI138" i="16"/>
  <c r="BJ138" i="16" s="1"/>
  <c r="BH140" i="16" l="1"/>
  <c r="BI139" i="16"/>
  <c r="BJ139" i="16" s="1"/>
  <c r="BH141" i="16" l="1"/>
  <c r="BI140" i="16"/>
  <c r="BJ140" i="16" s="1"/>
  <c r="BH142" i="16" l="1"/>
  <c r="BI141" i="16"/>
  <c r="BJ141" i="16" s="1"/>
  <c r="BH143" i="16" l="1"/>
  <c r="BI142" i="16"/>
  <c r="BJ142" i="16" s="1"/>
  <c r="BH144" i="16" l="1"/>
  <c r="BI143" i="16"/>
  <c r="BJ143" i="16" s="1"/>
  <c r="BH145" i="16" l="1"/>
  <c r="BI144" i="16"/>
  <c r="BJ144" i="16" s="1"/>
  <c r="BH146" i="16" l="1"/>
  <c r="BI145" i="16"/>
  <c r="BJ145" i="16" s="1"/>
  <c r="BH147" i="16" l="1"/>
  <c r="BI146" i="16"/>
  <c r="BJ146" i="16" s="1"/>
  <c r="BH148" i="16" l="1"/>
  <c r="BI147" i="16"/>
  <c r="BJ147" i="16" s="1"/>
  <c r="BH149" i="16" l="1"/>
  <c r="BI148" i="16"/>
  <c r="BJ148" i="16" s="1"/>
  <c r="BH150" i="16" l="1"/>
  <c r="BI149" i="16"/>
  <c r="BJ149" i="16" s="1"/>
  <c r="BH151" i="16" l="1"/>
  <c r="BI150" i="16"/>
  <c r="BJ150" i="16" s="1"/>
  <c r="BI151" i="16" l="1"/>
  <c r="BJ151" i="16" s="1"/>
  <c r="BH152" i="16"/>
  <c r="BI152" i="16" l="1"/>
  <c r="BJ152" i="16" s="1"/>
  <c r="BH153" i="16"/>
  <c r="BI153" i="16" l="1"/>
  <c r="BJ153" i="16" s="1"/>
  <c r="BH154" i="16"/>
  <c r="BI154" i="16" l="1"/>
  <c r="BJ154" i="16" s="1"/>
  <c r="BH155" i="16"/>
  <c r="BI155" i="16" l="1"/>
  <c r="BJ155" i="16" s="1"/>
  <c r="BH156" i="16"/>
  <c r="BI156" i="16" l="1"/>
  <c r="BJ156" i="16" s="1"/>
  <c r="BH157" i="16"/>
  <c r="BI157" i="16" l="1"/>
  <c r="BJ157" i="16" s="1"/>
  <c r="BH158" i="16"/>
  <c r="BI158" i="16" l="1"/>
  <c r="BJ158" i="16" s="1"/>
  <c r="BH159" i="16"/>
  <c r="BI159" i="16" l="1"/>
  <c r="BJ159" i="16" s="1"/>
  <c r="BH160" i="16"/>
  <c r="BI160" i="16" l="1"/>
  <c r="BJ160" i="16" s="1"/>
  <c r="BH161" i="16"/>
  <c r="BI161" i="16" l="1"/>
  <c r="BJ161" i="16" s="1"/>
  <c r="BH162" i="16"/>
  <c r="BI162" i="16" l="1"/>
  <c r="BJ162" i="16" s="1"/>
  <c r="BH163" i="16"/>
  <c r="BI163" i="16" l="1"/>
  <c r="BJ163" i="16" s="1"/>
  <c r="BH164" i="16"/>
  <c r="BI164" i="16" l="1"/>
  <c r="BJ164" i="16" s="1"/>
  <c r="BH165" i="16"/>
  <c r="BI165" i="16" l="1"/>
  <c r="BJ165" i="16" s="1"/>
  <c r="BH166" i="16"/>
  <c r="BI166" i="16" l="1"/>
  <c r="BJ166" i="16" s="1"/>
  <c r="BH167" i="16"/>
  <c r="BI167" i="16" l="1"/>
  <c r="BJ167" i="16" s="1"/>
  <c r="BH168" i="16"/>
  <c r="BI168" i="16" l="1"/>
  <c r="BJ168" i="16" s="1"/>
  <c r="BH169" i="16"/>
  <c r="BI169" i="16" l="1"/>
  <c r="BJ169" i="16" s="1"/>
  <c r="BH170" i="16"/>
  <c r="BH171" i="16" l="1"/>
  <c r="BI170" i="16"/>
  <c r="BJ170" i="16" s="1"/>
  <c r="BH172" i="16" l="1"/>
  <c r="BI171" i="16"/>
  <c r="BJ171" i="16" s="1"/>
  <c r="BI172" i="16" l="1"/>
  <c r="BJ172" i="16" s="1"/>
  <c r="BH173" i="16"/>
  <c r="BI173" i="16" l="1"/>
  <c r="BJ173" i="16" s="1"/>
  <c r="BH174" i="16"/>
  <c r="BI174" i="16" l="1"/>
  <c r="BJ174" i="16" s="1"/>
  <c r="BH175" i="16"/>
  <c r="BI175" i="16" l="1"/>
  <c r="BJ175" i="16" s="1"/>
  <c r="BH176" i="16"/>
  <c r="BI176" i="16" l="1"/>
  <c r="BJ176" i="16" s="1"/>
  <c r="BH177" i="16"/>
  <c r="BI177" i="16" l="1"/>
  <c r="BJ177" i="16" s="1"/>
  <c r="BH178" i="16"/>
  <c r="BI178" i="16" l="1"/>
  <c r="BJ178" i="16" s="1"/>
  <c r="BH179" i="16"/>
  <c r="BH180" i="16" l="1"/>
  <c r="BI179" i="16"/>
  <c r="BJ179" i="16" s="1"/>
  <c r="BI180" i="16" l="1"/>
  <c r="BJ180" i="16" s="1"/>
  <c r="BH181" i="16"/>
  <c r="BI181" i="16" l="1"/>
  <c r="BJ181" i="16" s="1"/>
  <c r="BH182" i="16"/>
  <c r="BI182" i="16" l="1"/>
  <c r="BJ182" i="16" s="1"/>
  <c r="BH183" i="16"/>
  <c r="BI183" i="16" l="1"/>
  <c r="BJ183" i="16" s="1"/>
  <c r="BH184" i="16"/>
  <c r="BH185" i="16" l="1"/>
  <c r="BI184" i="16"/>
  <c r="BJ184" i="16" s="1"/>
  <c r="BH186" i="16" l="1"/>
  <c r="BI185" i="16"/>
  <c r="BJ185" i="16" s="1"/>
  <c r="BH187" i="16" l="1"/>
  <c r="BI186" i="16"/>
  <c r="BJ186" i="16" s="1"/>
  <c r="BH188" i="16" l="1"/>
  <c r="BI187" i="16"/>
  <c r="BJ187" i="16" s="1"/>
  <c r="BH189" i="16" l="1"/>
  <c r="BI188" i="16"/>
  <c r="BJ188" i="16" s="1"/>
  <c r="BH190" i="16" l="1"/>
  <c r="BI189" i="16"/>
  <c r="BJ189" i="16" s="1"/>
  <c r="BH191" i="16" l="1"/>
  <c r="BI190" i="16"/>
  <c r="BJ190" i="16" s="1"/>
  <c r="BI191" i="16" l="1"/>
  <c r="BJ191" i="16" s="1"/>
  <c r="BH192" i="16"/>
  <c r="BH193" i="16" l="1"/>
  <c r="BI192" i="16"/>
  <c r="BJ192" i="16" s="1"/>
  <c r="BH194" i="16" l="1"/>
  <c r="BI193" i="16"/>
  <c r="BJ193" i="16" s="1"/>
  <c r="BI194" i="16" l="1"/>
  <c r="BJ194" i="16" s="1"/>
  <c r="BH195" i="16"/>
  <c r="BH196" i="16" l="1"/>
  <c r="BI195" i="16"/>
  <c r="BJ195" i="16" s="1"/>
  <c r="BH197" i="16" l="1"/>
  <c r="BI196" i="16"/>
  <c r="BJ196" i="16" s="1"/>
  <c r="BH198" i="16" l="1"/>
  <c r="BI197" i="16"/>
  <c r="BJ197" i="16" s="1"/>
  <c r="BH199" i="16" l="1"/>
  <c r="BI198" i="16"/>
  <c r="BJ198" i="16" s="1"/>
  <c r="BH200" i="16" l="1"/>
  <c r="BI199" i="16"/>
  <c r="BJ199" i="16" s="1"/>
  <c r="BH201" i="16" l="1"/>
  <c r="BI200" i="16"/>
  <c r="BJ200" i="16" s="1"/>
  <c r="BH202" i="16" l="1"/>
  <c r="BI201" i="16"/>
  <c r="BJ201" i="16" s="1"/>
  <c r="BI202" i="16" l="1"/>
  <c r="BJ202" i="16" s="1"/>
  <c r="BH203" i="16"/>
  <c r="BI203" i="16" l="1"/>
  <c r="BJ203" i="16" s="1"/>
  <c r="BH204" i="16"/>
  <c r="BI204" i="16" l="1"/>
  <c r="BJ204" i="16" s="1"/>
  <c r="BH205" i="16"/>
  <c r="BH206" i="16" l="1"/>
  <c r="BI205" i="16"/>
  <c r="BJ205" i="16" s="1"/>
  <c r="BH207" i="16" l="1"/>
  <c r="BI206" i="16"/>
  <c r="BJ206" i="16" l="1"/>
  <c r="BH208" i="16"/>
  <c r="BI207" i="16"/>
  <c r="BH209" i="16" l="1"/>
  <c r="BI208" i="16"/>
  <c r="BI209" i="16" l="1"/>
  <c r="BH210" i="16"/>
  <c r="BH211" i="16" l="1"/>
  <c r="BI210" i="16"/>
  <c r="BH212" i="16" l="1"/>
  <c r="BI211" i="16"/>
  <c r="BH213" i="16" l="1"/>
  <c r="BI212" i="16"/>
  <c r="BH214" i="16" l="1"/>
  <c r="BI213" i="16"/>
  <c r="BH215" i="16" l="1"/>
  <c r="BI214" i="16"/>
  <c r="BH216" i="16" l="1"/>
  <c r="BI215" i="16"/>
  <c r="BH217" i="16" l="1"/>
  <c r="BI216" i="16"/>
  <c r="BH218" i="16" l="1"/>
  <c r="BI217" i="16"/>
  <c r="BH219" i="16" l="1"/>
  <c r="BI218" i="16"/>
  <c r="BH220" i="16" l="1"/>
  <c r="BI219" i="16"/>
  <c r="BH221" i="16" l="1"/>
  <c r="BI220" i="16"/>
  <c r="BJ220" i="16" s="1"/>
  <c r="BI221" i="16" l="1"/>
  <c r="BH222" i="16"/>
  <c r="BI222" i="16" l="1"/>
  <c r="BH223" i="16"/>
  <c r="BH224" i="16" l="1"/>
  <c r="BI223" i="16"/>
  <c r="BI224" i="16" l="1"/>
  <c r="BH225" i="16"/>
  <c r="BH226" i="16" l="1"/>
  <c r="BI225" i="16"/>
  <c r="BH227" i="16" l="1"/>
  <c r="BI226" i="16"/>
  <c r="BH228" i="16" l="1"/>
  <c r="BI227" i="16"/>
  <c r="BJ228" i="16" s="1"/>
  <c r="BH229" i="16" l="1"/>
  <c r="BI228" i="16"/>
  <c r="BI229" i="16" l="1"/>
  <c r="BJ229" i="16" s="1"/>
  <c r="BH230" i="16"/>
  <c r="BH231" i="16" l="1"/>
  <c r="BI230" i="16"/>
  <c r="BJ230" i="16" s="1"/>
  <c r="BH232" i="16" l="1"/>
  <c r="BI231" i="16"/>
  <c r="BJ231" i="16" s="1"/>
  <c r="BH233" i="16" l="1"/>
  <c r="BI232" i="16"/>
  <c r="BJ232" i="16" s="1"/>
  <c r="BH234" i="16" l="1"/>
  <c r="BI233" i="16"/>
  <c r="BJ233" i="16" s="1"/>
  <c r="BH235" i="16" l="1"/>
  <c r="BI234" i="16"/>
  <c r="BJ234" i="16" s="1"/>
  <c r="BI235" i="16" l="1"/>
  <c r="BJ235" i="16" s="1"/>
  <c r="BH236" i="16"/>
  <c r="BH237" i="16" l="1"/>
  <c r="BI236" i="16"/>
  <c r="BJ236" i="16" s="1"/>
  <c r="BH238" i="16" l="1"/>
  <c r="BI237" i="16"/>
  <c r="BJ237" i="16" s="1"/>
  <c r="BI238" i="16" l="1"/>
  <c r="BJ238" i="16" s="1"/>
  <c r="BH239" i="16"/>
  <c r="BH240" i="16" l="1"/>
  <c r="BI239" i="16"/>
  <c r="BJ239" i="16" s="1"/>
  <c r="BI240" i="16" l="1"/>
  <c r="BJ240" i="16" s="1"/>
  <c r="BH241" i="16"/>
  <c r="BH242" i="16" l="1"/>
  <c r="BI241" i="16"/>
  <c r="BJ241" i="16" s="1"/>
  <c r="BH243" i="16" l="1"/>
  <c r="BI242" i="16"/>
  <c r="BJ242" i="16" s="1"/>
  <c r="BH244" i="16" l="1"/>
  <c r="BI243" i="16"/>
  <c r="BJ243" i="16" s="1"/>
  <c r="BH245" i="16" l="1"/>
  <c r="BI244" i="16"/>
  <c r="BJ244" i="16" s="1"/>
  <c r="BI245" i="16" l="1"/>
  <c r="BJ245" i="16" s="1"/>
  <c r="BH246" i="16"/>
  <c r="BH247" i="16" l="1"/>
  <c r="BI246" i="16"/>
  <c r="BJ246" i="16" s="1"/>
  <c r="BI247" i="16" l="1"/>
  <c r="BJ247" i="16" s="1"/>
  <c r="BH248" i="16"/>
  <c r="BH249" i="16" l="1"/>
  <c r="BI248" i="16"/>
  <c r="BJ248" i="16" s="1"/>
  <c r="BH250" i="16" l="1"/>
  <c r="BI249" i="16"/>
  <c r="BJ249" i="16" s="1"/>
  <c r="BI250" i="16" l="1"/>
  <c r="BJ250" i="16" s="1"/>
  <c r="BH251" i="16"/>
  <c r="BH252" i="16" l="1"/>
  <c r="BI251" i="16"/>
  <c r="BJ251" i="16" s="1"/>
  <c r="BI252" i="16" l="1"/>
  <c r="BJ252" i="16" s="1"/>
  <c r="BH253" i="16"/>
  <c r="BI253" i="16" l="1"/>
  <c r="BJ253" i="16" s="1"/>
  <c r="BH254" i="16"/>
  <c r="BH255" i="16" l="1"/>
  <c r="BI254" i="16"/>
  <c r="BJ254" i="16" s="1"/>
  <c r="BH256" i="16" l="1"/>
  <c r="BI255" i="16"/>
  <c r="BJ255" i="16" s="1"/>
  <c r="BH257" i="16" l="1"/>
  <c r="BI256" i="16"/>
  <c r="BJ256" i="16" s="1"/>
  <c r="BH258" i="16" l="1"/>
  <c r="BI257" i="16"/>
  <c r="BJ257" i="16" s="1"/>
  <c r="BI258" i="16" l="1"/>
  <c r="BJ258" i="16" s="1"/>
  <c r="BH259" i="16"/>
  <c r="BH260" i="16" l="1"/>
  <c r="BI259" i="16"/>
  <c r="BJ259" i="16" s="1"/>
  <c r="BH261" i="16" l="1"/>
  <c r="BI260" i="16"/>
  <c r="BJ260" i="16" s="1"/>
  <c r="BH262" i="16" l="1"/>
  <c r="BI261" i="16"/>
  <c r="BJ261" i="16" s="1"/>
  <c r="BH263" i="16" l="1"/>
  <c r="BI262" i="16"/>
  <c r="BJ262" i="16" s="1"/>
  <c r="BI263" i="16" l="1"/>
  <c r="BJ263" i="16" s="1"/>
  <c r="BH264" i="16"/>
  <c r="BH265" i="16" l="1"/>
  <c r="BI264" i="16"/>
  <c r="BJ264" i="16" s="1"/>
  <c r="BH266" i="16" l="1"/>
  <c r="BI265" i="16"/>
  <c r="BJ265" i="16" s="1"/>
  <c r="BI266" i="16" l="1"/>
  <c r="BJ266" i="16" s="1"/>
  <c r="BH267" i="16"/>
  <c r="BH268" i="16" l="1"/>
  <c r="BI267" i="16"/>
  <c r="BJ267" i="16" s="1"/>
  <c r="BI268" i="16" l="1"/>
  <c r="BJ268" i="16" s="1"/>
  <c r="BH269" i="16"/>
  <c r="BH270" i="16" l="1"/>
  <c r="BI269" i="16"/>
  <c r="BJ269" i="16" s="1"/>
  <c r="BH271" i="16" l="1"/>
  <c r="BI270" i="16"/>
  <c r="BJ270" i="16" s="1"/>
  <c r="BI271" i="16" l="1"/>
  <c r="BJ271" i="16" s="1"/>
  <c r="BH272" i="16"/>
  <c r="BH273" i="16" l="1"/>
  <c r="BI272" i="16"/>
  <c r="BJ272" i="16" s="1"/>
  <c r="BH274" i="16" l="1"/>
  <c r="BI273" i="16"/>
  <c r="BJ273" i="16" s="1"/>
  <c r="BH275" i="16" l="1"/>
  <c r="BI274" i="16"/>
  <c r="BJ274" i="16" s="1"/>
  <c r="BH276" i="16" l="1"/>
  <c r="BI275" i="16"/>
  <c r="BJ275" i="16" s="1"/>
  <c r="BH277" i="16" l="1"/>
  <c r="BI276" i="16"/>
  <c r="BJ276" i="16" s="1"/>
  <c r="BI277" i="16" l="1"/>
  <c r="BJ277" i="16" s="1"/>
  <c r="BH278" i="16"/>
  <c r="BH279" i="16" l="1"/>
  <c r="BI278" i="16"/>
  <c r="BJ278" i="16" s="1"/>
  <c r="BI279" i="16" l="1"/>
  <c r="BJ279" i="16" s="1"/>
  <c r="BH280" i="16"/>
  <c r="BI280" i="16" l="1"/>
  <c r="BJ280" i="16" s="1"/>
  <c r="BH281" i="16"/>
  <c r="BH282" i="16" l="1"/>
  <c r="BI281" i="16"/>
  <c r="BJ281" i="16" s="1"/>
  <c r="BH283" i="16" l="1"/>
  <c r="BI282" i="16"/>
  <c r="BJ282" i="16" s="1"/>
  <c r="BH284" i="16" l="1"/>
  <c r="BI283" i="16"/>
  <c r="BJ283" i="16" s="1"/>
  <c r="BH285" i="16" l="1"/>
  <c r="BI284" i="16"/>
  <c r="BJ284" i="16" s="1"/>
  <c r="BH286" i="16" l="1"/>
  <c r="BI285" i="16"/>
  <c r="BJ285" i="16" s="1"/>
  <c r="BH287" i="16" l="1"/>
  <c r="BI286" i="16"/>
  <c r="BJ286" i="16" s="1"/>
  <c r="BH288" i="16" l="1"/>
  <c r="BI287" i="16"/>
  <c r="BJ287" i="16" s="1"/>
  <c r="BH289" i="16" l="1"/>
  <c r="BI288" i="16"/>
  <c r="BJ288" i="16" s="1"/>
  <c r="BH290" i="16" l="1"/>
  <c r="BI289" i="16"/>
  <c r="BJ289" i="16" s="1"/>
  <c r="BH291" i="16" l="1"/>
  <c r="BI290" i="16"/>
  <c r="BJ290" i="16" s="1"/>
  <c r="BH292" i="16" l="1"/>
  <c r="BI291" i="16"/>
  <c r="BJ291" i="16" s="1"/>
  <c r="BH293" i="16" l="1"/>
  <c r="BI292" i="16"/>
  <c r="BJ292" i="16" s="1"/>
  <c r="BH294" i="16" l="1"/>
  <c r="BI293" i="16"/>
  <c r="BJ293" i="16" s="1"/>
  <c r="BH295" i="16" l="1"/>
  <c r="BI294" i="16"/>
  <c r="BJ294" i="16" s="1"/>
  <c r="BI295" i="16" l="1"/>
  <c r="BJ295" i="16" s="1"/>
  <c r="BH296" i="16"/>
  <c r="BH297" i="16" l="1"/>
  <c r="BI296" i="16"/>
  <c r="BJ296" i="16" s="1"/>
  <c r="BH298" i="16" l="1"/>
  <c r="BI297" i="16"/>
  <c r="BJ297" i="16" s="1"/>
  <c r="BH299" i="16" l="1"/>
  <c r="BI298" i="16"/>
  <c r="BJ298" i="16" s="1"/>
  <c r="BH300" i="16" l="1"/>
  <c r="BI299" i="16"/>
  <c r="BJ299" i="16" s="1"/>
  <c r="BH301" i="16" l="1"/>
  <c r="BI300" i="16"/>
  <c r="BJ300" i="16" s="1"/>
  <c r="BH302" i="16" l="1"/>
  <c r="BI301" i="16"/>
  <c r="BJ301" i="16" s="1"/>
  <c r="BI302" i="16" l="1"/>
  <c r="BJ302" i="16" s="1"/>
  <c r="BH303" i="16"/>
  <c r="BH304" i="16" l="1"/>
  <c r="BI303" i="16"/>
  <c r="BJ303" i="16" s="1"/>
  <c r="BI304" i="16" l="1"/>
  <c r="BJ304" i="16" s="1"/>
  <c r="BH305" i="16"/>
  <c r="BH306" i="16" l="1"/>
  <c r="BI305" i="16"/>
  <c r="BJ305" i="16" s="1"/>
  <c r="BH307" i="16" l="1"/>
  <c r="BI306" i="16"/>
  <c r="BJ306" i="16" s="1"/>
  <c r="BH308" i="16" l="1"/>
  <c r="BI307" i="16"/>
  <c r="BJ307" i="16" s="1"/>
  <c r="BH309" i="16" l="1"/>
  <c r="BI308" i="16"/>
  <c r="BJ308" i="16" s="1"/>
  <c r="BH310" i="16" l="1"/>
  <c r="BI309" i="16"/>
  <c r="BJ309" i="16" s="1"/>
  <c r="BH311" i="16" l="1"/>
  <c r="BI310" i="16"/>
  <c r="BJ310" i="16" s="1"/>
  <c r="BH312" i="16" l="1"/>
  <c r="BI311" i="16"/>
  <c r="BJ311" i="16" s="1"/>
  <c r="BH313" i="16" l="1"/>
  <c r="BI312" i="16"/>
  <c r="BJ312" i="16" s="1"/>
  <c r="BH314" i="16" l="1"/>
  <c r="BI313" i="16"/>
  <c r="BJ313" i="16" s="1"/>
  <c r="BI314" i="16" l="1"/>
  <c r="BJ314" i="16" s="1"/>
  <c r="BH315" i="16"/>
  <c r="BI315" i="16" l="1"/>
  <c r="BJ315" i="16" s="1"/>
  <c r="BH316" i="16"/>
  <c r="BI316" i="16" l="1"/>
  <c r="BJ316" i="16" s="1"/>
  <c r="BH317" i="16"/>
  <c r="BI317" i="16" l="1"/>
  <c r="BJ317" i="16" s="1"/>
  <c r="BH318" i="16"/>
  <c r="BI318" i="16" l="1"/>
  <c r="BJ318" i="16" s="1"/>
  <c r="BH319" i="16"/>
  <c r="BH320" i="16" l="1"/>
  <c r="BI319" i="16"/>
  <c r="BJ319" i="16" s="1"/>
  <c r="BH321" i="16" l="1"/>
  <c r="BI320" i="16"/>
  <c r="BJ320" i="16" s="1"/>
  <c r="BH322" i="16" l="1"/>
  <c r="BI321" i="16"/>
  <c r="BJ321" i="16" s="1"/>
  <c r="BH323" i="16" l="1"/>
  <c r="BI322" i="16"/>
  <c r="BJ322" i="16" s="1"/>
  <c r="BH324" i="16" l="1"/>
  <c r="BI323" i="16"/>
  <c r="BJ323" i="16" s="1"/>
  <c r="BI324" i="16" l="1"/>
  <c r="BJ324" i="16" s="1"/>
  <c r="BH325" i="16"/>
  <c r="BH326" i="16" l="1"/>
  <c r="BI325" i="16"/>
  <c r="BJ325" i="16" l="1"/>
  <c r="BH327" i="16"/>
  <c r="BI326" i="16"/>
  <c r="BI327" i="16" l="1"/>
  <c r="BH328" i="16"/>
  <c r="BH329" i="16" l="1"/>
  <c r="BI328" i="16"/>
  <c r="BH330" i="16" l="1"/>
  <c r="BI329" i="16"/>
  <c r="BI330" i="16" l="1"/>
  <c r="BH331" i="16"/>
  <c r="BH332" i="16" l="1"/>
  <c r="BI331" i="16"/>
  <c r="BH333" i="16" l="1"/>
  <c r="BI332" i="16"/>
  <c r="BJ332" i="16" s="1"/>
  <c r="BI333" i="16" l="1"/>
  <c r="BH334" i="16"/>
  <c r="BH335" i="16" l="1"/>
  <c r="BI334" i="16"/>
  <c r="BI335" i="16" l="1"/>
  <c r="BH336" i="16"/>
  <c r="BI336" i="16" l="1"/>
  <c r="BH337" i="16"/>
  <c r="BH338" i="16" l="1"/>
  <c r="BI337" i="16"/>
  <c r="BI338" i="16" l="1"/>
  <c r="BH339" i="16"/>
  <c r="BH340" i="16" l="1"/>
  <c r="BI339" i="16"/>
  <c r="BJ339" i="16" l="1"/>
  <c r="BH341" i="16"/>
  <c r="BI340" i="16"/>
  <c r="BJ340" i="16" s="1"/>
  <c r="BH342" i="16" l="1"/>
  <c r="BI341" i="16"/>
  <c r="BJ341" i="16" s="1"/>
  <c r="BH343" i="16" l="1"/>
  <c r="BI342" i="16"/>
  <c r="BJ342" i="16" s="1"/>
  <c r="BI343" i="16" l="1"/>
  <c r="BJ343" i="16" s="1"/>
  <c r="BH344" i="16"/>
  <c r="BH345" i="16" l="1"/>
  <c r="BI344" i="16"/>
  <c r="BJ344" i="16" s="1"/>
  <c r="BH346" i="16" l="1"/>
  <c r="BI345" i="16"/>
  <c r="BJ345" i="16" s="1"/>
  <c r="BH347" i="16" l="1"/>
  <c r="BI346" i="16"/>
  <c r="BJ346" i="16" s="1"/>
  <c r="BH348" i="16" l="1"/>
  <c r="BI347" i="16"/>
  <c r="BJ347" i="16" s="1"/>
  <c r="BH349" i="16" l="1"/>
  <c r="BI348" i="16"/>
  <c r="BJ348" i="16" s="1"/>
  <c r="BH350" i="16" l="1"/>
  <c r="BI349" i="16"/>
  <c r="BJ349" i="16" s="1"/>
  <c r="BI350" i="16" l="1"/>
  <c r="BJ350" i="16" s="1"/>
  <c r="BH351" i="16"/>
  <c r="BI351" i="16" l="1"/>
  <c r="BJ351" i="16" s="1"/>
  <c r="BH352" i="16"/>
  <c r="BI352" i="16" l="1"/>
  <c r="BJ352" i="16" s="1"/>
  <c r="BH353" i="16"/>
  <c r="BI353" i="16" l="1"/>
  <c r="BJ353" i="16" s="1"/>
  <c r="BH354" i="16"/>
  <c r="BH355" i="16" l="1"/>
  <c r="BI354" i="16"/>
  <c r="BJ354" i="16" s="1"/>
  <c r="BI355" i="16" l="1"/>
  <c r="BJ355" i="16" s="1"/>
  <c r="BH356" i="16"/>
  <c r="BH357" i="16" l="1"/>
  <c r="BI356" i="16"/>
  <c r="BJ356" i="16" s="1"/>
  <c r="BH358" i="16" l="1"/>
  <c r="BI357" i="16"/>
  <c r="BJ357" i="16" s="1"/>
  <c r="BH359" i="16" l="1"/>
  <c r="BI358" i="16"/>
  <c r="BJ358" i="16" s="1"/>
  <c r="BH360" i="16" l="1"/>
  <c r="BI359" i="16"/>
  <c r="BJ359" i="16" s="1"/>
  <c r="BH361" i="16" l="1"/>
  <c r="BI360" i="16"/>
  <c r="BJ360" i="16" s="1"/>
  <c r="BH362" i="16" l="1"/>
  <c r="BI361" i="16"/>
  <c r="BJ361" i="16" s="1"/>
  <c r="BI362" i="16" l="1"/>
  <c r="BJ362" i="16" s="1"/>
  <c r="BH363" i="16"/>
  <c r="BH364" i="16" l="1"/>
  <c r="BI363" i="16"/>
  <c r="BJ363" i="16" s="1"/>
  <c r="BH365" i="16" l="1"/>
  <c r="BI364" i="16"/>
  <c r="BJ364" i="16" s="1"/>
  <c r="BH366" i="16" l="1"/>
  <c r="BI365" i="16"/>
  <c r="BJ365" i="16" s="1"/>
  <c r="BH367" i="16" l="1"/>
  <c r="BI366" i="16"/>
  <c r="BJ366" i="16" s="1"/>
  <c r="BH368" i="16" l="1"/>
  <c r="BI367" i="16"/>
  <c r="BJ367" i="16" s="1"/>
  <c r="BH369" i="16" l="1"/>
  <c r="BI368" i="16"/>
  <c r="BJ368" i="16" s="1"/>
  <c r="BH370" i="16" l="1"/>
  <c r="BI369" i="16"/>
  <c r="BJ369" i="16" s="1"/>
  <c r="BH371" i="16" l="1"/>
  <c r="BI370" i="16"/>
  <c r="BJ370" i="16" s="1"/>
  <c r="BI371" i="16" l="1"/>
  <c r="BJ371" i="16" s="1"/>
  <c r="BH372" i="16"/>
  <c r="BH373" i="16" l="1"/>
  <c r="BI372" i="16"/>
  <c r="BJ372" i="16" s="1"/>
  <c r="BI373" i="16" l="1"/>
  <c r="BJ373" i="16" s="1"/>
  <c r="BH374" i="16"/>
  <c r="BH375" i="16" l="1"/>
  <c r="BI374" i="16"/>
  <c r="BJ374" i="16" s="1"/>
  <c r="BI375" i="16" l="1"/>
  <c r="BJ375" i="16" s="1"/>
  <c r="BH376" i="16"/>
  <c r="BH377" i="16" l="1"/>
  <c r="BI376" i="16"/>
  <c r="BJ376" i="16" s="1"/>
  <c r="BI377" i="16" l="1"/>
  <c r="BJ377" i="16" s="1"/>
  <c r="BH378" i="16"/>
  <c r="BH379" i="16" l="1"/>
  <c r="BI378" i="16"/>
  <c r="BJ378" i="16" s="1"/>
  <c r="BH380" i="16" l="1"/>
  <c r="BI379" i="16"/>
  <c r="BJ379" i="16" s="1"/>
  <c r="BI380" i="16" l="1"/>
  <c r="BJ380" i="16" s="1"/>
  <c r="BH381" i="16"/>
  <c r="BH382" i="16" l="1"/>
  <c r="BI381" i="16"/>
  <c r="BJ381" i="16" s="1"/>
  <c r="BH383" i="16" l="1"/>
  <c r="BI382" i="16"/>
  <c r="BJ382" i="16" s="1"/>
  <c r="BH384" i="16" l="1"/>
  <c r="BI383" i="16"/>
  <c r="BJ383" i="16" s="1"/>
  <c r="BH385" i="16" l="1"/>
  <c r="BI384" i="16"/>
  <c r="BJ384" i="16" s="1"/>
  <c r="BH386" i="16" l="1"/>
  <c r="BI385" i="16"/>
  <c r="BJ385" i="16" s="1"/>
  <c r="BH387" i="16" l="1"/>
  <c r="BI386" i="16"/>
  <c r="BJ386" i="16" s="1"/>
  <c r="BI387" i="16" l="1"/>
  <c r="BJ387" i="16" s="1"/>
  <c r="BH388" i="16"/>
  <c r="BH389" i="16" l="1"/>
  <c r="BI388" i="16"/>
  <c r="BJ388" i="16" s="1"/>
  <c r="BH390" i="16" l="1"/>
  <c r="BI389" i="16"/>
  <c r="BJ389" i="16" s="1"/>
  <c r="BH391" i="16" l="1"/>
  <c r="BI390" i="16"/>
  <c r="BJ390" i="16" s="1"/>
  <c r="BH392" i="16" l="1"/>
  <c r="BI391" i="16"/>
  <c r="BJ391" i="16" s="1"/>
  <c r="BH393" i="16" l="1"/>
  <c r="BI392" i="16"/>
  <c r="BJ392" i="16" s="1"/>
  <c r="BH394" i="16" l="1"/>
  <c r="BI393" i="16"/>
  <c r="BJ393" i="16" s="1"/>
  <c r="BI394" i="16" l="1"/>
  <c r="BJ394" i="16" s="1"/>
  <c r="BH395" i="16"/>
  <c r="BI395" i="16" l="1"/>
  <c r="BJ395" i="16" s="1"/>
  <c r="BH396" i="16"/>
  <c r="BH397" i="16" l="1"/>
  <c r="BI396" i="16"/>
  <c r="BJ396" i="16" s="1"/>
  <c r="BI397" i="16" l="1"/>
  <c r="BJ397" i="16" s="1"/>
  <c r="BH398" i="16"/>
  <c r="BI398" i="16" l="1"/>
  <c r="BJ398" i="16" s="1"/>
  <c r="BH399" i="16"/>
  <c r="BH400" i="16" l="1"/>
  <c r="BI399" i="16"/>
  <c r="BJ399" i="16" s="1"/>
  <c r="BH401" i="16" l="1"/>
  <c r="BI400" i="16"/>
  <c r="BJ400" i="16" s="1"/>
  <c r="BI401" i="16" l="1"/>
  <c r="BJ401" i="16" s="1"/>
  <c r="BH402" i="16"/>
  <c r="BI402" i="16" l="1"/>
  <c r="BJ402" i="16" s="1"/>
  <c r="BH403" i="16"/>
  <c r="BH404" i="16" l="1"/>
  <c r="BI403" i="16"/>
  <c r="BJ403" i="16" s="1"/>
  <c r="AJ8" i="30"/>
  <c r="BH405" i="16" l="1"/>
  <c r="BI404" i="16"/>
  <c r="BJ404" i="16" s="1"/>
  <c r="BH406" i="16" l="1"/>
  <c r="BI405" i="16"/>
  <c r="BJ405" i="16" s="1"/>
  <c r="L93" i="24"/>
  <c r="L98" i="24"/>
  <c r="BH407" i="16" l="1"/>
  <c r="BI406" i="16"/>
  <c r="BJ406" i="16" s="1"/>
  <c r="N98" i="24"/>
  <c r="BH408" i="16" l="1"/>
  <c r="BI408" i="16" s="1"/>
  <c r="BI407" i="16"/>
  <c r="BJ407" i="16" s="1"/>
  <c r="L113" i="24"/>
  <c r="L112" i="24"/>
  <c r="L102" i="24"/>
  <c r="L101" i="24"/>
  <c r="L117" i="24"/>
  <c r="L107" i="24"/>
  <c r="L106" i="24"/>
  <c r="L111" i="24"/>
  <c r="L109" i="24"/>
  <c r="L104" i="24"/>
  <c r="L115" i="24"/>
  <c r="L100" i="24"/>
  <c r="L114" i="24"/>
  <c r="L103" i="24"/>
  <c r="L116" i="24"/>
  <c r="L99" i="24"/>
  <c r="L108" i="24"/>
  <c r="L105" i="24"/>
  <c r="N105" i="24" s="1"/>
  <c r="L110" i="24"/>
  <c r="BJ408" i="16" l="1"/>
  <c r="N99" i="24"/>
  <c r="N100" i="24"/>
  <c r="N111" i="24"/>
  <c r="N117" i="24"/>
  <c r="N112" i="24"/>
  <c r="N109" i="24"/>
  <c r="N114" i="24"/>
  <c r="N102" i="24"/>
  <c r="N103" i="24"/>
  <c r="N107" i="24"/>
  <c r="N101" i="24"/>
  <c r="N113" i="24"/>
  <c r="N108" i="24"/>
  <c r="N104" i="24"/>
  <c r="N110" i="24"/>
  <c r="N116" i="24"/>
  <c r="N115" i="24"/>
  <c r="N106" i="24"/>
  <c r="N259" i="24" l="1"/>
  <c r="N261" i="24" s="1"/>
  <c r="N263" i="24" s="1"/>
  <c r="A114" i="24"/>
  <c r="AO9" i="30"/>
  <c r="AJ9" i="30" s="1"/>
  <c r="L118" i="24"/>
  <c r="A119" i="24" l="1"/>
  <c r="A112" i="24"/>
  <c r="AQ17" i="30"/>
  <c r="AO17" i="30"/>
  <c r="AJ17" i="30" l="1"/>
  <c r="A118" i="24"/>
  <c r="AJ18" i="30" l="1"/>
</calcChain>
</file>

<file path=xl/sharedStrings.xml><?xml version="1.0" encoding="utf-8"?>
<sst xmlns="http://schemas.openxmlformats.org/spreadsheetml/2006/main" count="2012" uniqueCount="923">
  <si>
    <t>1.</t>
  </si>
  <si>
    <t>Met dit programma kan in 3 stappen heel eenvoudig een BESTELLING geplaatst worden bij VOLTAFOOD.</t>
  </si>
  <si>
    <t>STUUR NA INVULLING VAN ALLE GEGEVENS HET HELE BESTAND PER EMAIL ONDER EEN ANDERE NAAM TERUG NAAR info@Voltafood.nl</t>
  </si>
  <si>
    <t>Betaling in WINKEL 5 dagen vóór levering</t>
  </si>
  <si>
    <t>11:00 uur</t>
  </si>
  <si>
    <t>AFHALEN</t>
  </si>
  <si>
    <t>BEZORGEN</t>
  </si>
  <si>
    <t>BASISSCHOTELS van LUXE buffet, 8-delig op 55 cm. schaal</t>
  </si>
  <si>
    <t>x</t>
  </si>
  <si>
    <t>=</t>
  </si>
  <si>
    <t>BASISSCHOTEL van EXCLUSIEF buffet, 8-delig op 55 cm. schaal</t>
  </si>
  <si>
    <t>BASISSCHOTEL met alléén koude schotel, gegarneerd</t>
  </si>
  <si>
    <t>Kruisje</t>
  </si>
  <si>
    <t>Komkommer 50 gr. p.p.</t>
  </si>
  <si>
    <t>Eiersalade 50 gr. p.p.</t>
  </si>
  <si>
    <t>Wortelsalade 50 gr. p.p.</t>
  </si>
  <si>
    <t>Griekse kool 30 gr. p.p.</t>
  </si>
  <si>
    <t>Pasta Ham 40 gr. p.p.</t>
  </si>
  <si>
    <t>Pasta Kip pikant 40 gr. p.p.</t>
  </si>
  <si>
    <t>Pasta Spek 40 gr. p.p.</t>
  </si>
  <si>
    <t>Monegaske saus 30 gr. p.p.</t>
  </si>
  <si>
    <t>Cocktail saus 25 gr. p.p.</t>
  </si>
  <si>
    <t>Andalouse saus 25 gr. p.p.</t>
  </si>
  <si>
    <t>Kruidenboter 1 cup p.p.</t>
  </si>
  <si>
    <t>LUXE BUFFET All-In, 14-delig op 55 cm. scha(a)l(en)</t>
  </si>
  <si>
    <t>EXCLUSIEF BUFFET All-In, 16-delig op 55 cm. scha(a)l(en)</t>
  </si>
  <si>
    <t>Visschotel LUXE 8-delig, op 45 cm. schaal</t>
  </si>
  <si>
    <t xml:space="preserve"> </t>
  </si>
  <si>
    <t>Gevulde eitjes schotel GROOT 48 st. op 55 cm. schaal</t>
  </si>
  <si>
    <t>Gevulde eitjes schotel KLEIN 20 st.op 35 cm. schaal</t>
  </si>
  <si>
    <t>BORDEN &amp; BESTEK</t>
  </si>
  <si>
    <t>aantal sets/pers.</t>
  </si>
  <si>
    <t>ALGEMENE BESTELGEGEVENS</t>
  </si>
  <si>
    <t>aantal personen</t>
  </si>
  <si>
    <t>Kippenragout 250 gr. p.p. (levering koud)</t>
  </si>
  <si>
    <t>Goulash 250 gr. p.p. (levering koud)</t>
  </si>
  <si>
    <t>Tete de Veau 250 gr. p.p. (levering koud)</t>
  </si>
  <si>
    <t>Kipsaté 250 gr. p.p. (levering koud)</t>
  </si>
  <si>
    <t>Kip Pilav 250 gr. p.p. (levering koud)</t>
  </si>
  <si>
    <t>Zuurvlees 250 gr. p.p. (levering koud)</t>
  </si>
  <si>
    <t>aantal gerechten</t>
  </si>
  <si>
    <t>KOOP suikerriet bord &amp; Kunststof Metal look bestek met servet</t>
  </si>
  <si>
    <t>Pastaschotel ± 15 pers. op 45 cm. schaal</t>
  </si>
  <si>
    <t>Fruitspiesjes schotel 60 st. op 45 cm. schaal</t>
  </si>
  <si>
    <t xml:space="preserve">Totaalbedrag aanvullingen bij keuzebuffet:  </t>
  </si>
  <si>
    <t>DESSERTS</t>
  </si>
  <si>
    <t>aantal bakjes</t>
  </si>
  <si>
    <r>
      <rPr>
        <b/>
        <sz val="14"/>
        <color rgb="FF00B0F0"/>
        <rFont val="Arial"/>
        <family val="2"/>
      </rPr>
      <t>KOUDE</t>
    </r>
    <r>
      <rPr>
        <b/>
        <sz val="14"/>
        <color theme="0"/>
        <rFont val="Arial"/>
        <family val="2"/>
      </rPr>
      <t xml:space="preserve"> AANVULLINGEN VOOR BIJ BUFFETTEN</t>
    </r>
  </si>
  <si>
    <r>
      <rPr>
        <b/>
        <sz val="14"/>
        <color rgb="FFFF0000"/>
        <rFont val="Arial"/>
        <family val="2"/>
      </rPr>
      <t>WARME</t>
    </r>
    <r>
      <rPr>
        <b/>
        <sz val="14"/>
        <color theme="0"/>
        <rFont val="Arial"/>
        <family val="2"/>
      </rPr>
      <t xml:space="preserve"> GERECHTEN VOOR BIJ BUFFETTEN</t>
    </r>
  </si>
  <si>
    <t>Serrano ham/Meloen spiesjes 60 st. op 45 cm. schaal</t>
  </si>
  <si>
    <t>aantal schotels</t>
  </si>
  <si>
    <t>BORREL SCHOTELS</t>
  </si>
  <si>
    <t>Volta balletjes</t>
  </si>
  <si>
    <t>Samoerai balletjes</t>
  </si>
  <si>
    <t>Java balletjes</t>
  </si>
  <si>
    <t>Griekse knotsjes</t>
  </si>
  <si>
    <t>Spekspiesjes</t>
  </si>
  <si>
    <t>Griekse kipspiesjes</t>
  </si>
  <si>
    <t>Kipsaté spiesjes</t>
  </si>
  <si>
    <t>Kipballetjes naturel</t>
  </si>
  <si>
    <t>Indische balletjes naturel</t>
  </si>
  <si>
    <t>Mini borrelworstjes</t>
  </si>
  <si>
    <t>TV-sticks boneless</t>
  </si>
  <si>
    <t>Chicken Disks Mediterraan</t>
  </si>
  <si>
    <t>Andalouse</t>
  </si>
  <si>
    <t>Mayonaise</t>
  </si>
  <si>
    <t>Cocktail</t>
  </si>
  <si>
    <t>Knoflook</t>
  </si>
  <si>
    <t>Wimpie</t>
  </si>
  <si>
    <t>BBQ</t>
  </si>
  <si>
    <t>Saté</t>
  </si>
  <si>
    <t>Samoerai</t>
  </si>
  <si>
    <t>Joppie</t>
  </si>
  <si>
    <r>
      <rPr>
        <b/>
        <sz val="14"/>
        <color rgb="FFFF0000"/>
        <rFont val="Arial Black"/>
        <family val="2"/>
      </rPr>
      <t>KEUZE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color theme="0"/>
        <rFont val="Arial"/>
        <family val="2"/>
      </rPr>
      <t>BUFFETTEN BASISSCHOTELS</t>
    </r>
  </si>
  <si>
    <r>
      <rPr>
        <b/>
        <sz val="14"/>
        <color rgb="FFFF0000"/>
        <rFont val="Arial Black"/>
        <family val="2"/>
      </rPr>
      <t>ALL-IN</t>
    </r>
    <r>
      <rPr>
        <b/>
        <sz val="14"/>
        <color theme="0"/>
        <rFont val="Arial"/>
        <family val="2"/>
      </rPr>
      <t xml:space="preserve"> KOUDE BUFFETTEN STANDAARD</t>
    </r>
  </si>
  <si>
    <t>2.</t>
  </si>
  <si>
    <t>3.</t>
  </si>
  <si>
    <t>4.</t>
  </si>
  <si>
    <t>5.</t>
  </si>
  <si>
    <t>6.</t>
  </si>
  <si>
    <t>7.</t>
  </si>
  <si>
    <t>8.</t>
  </si>
  <si>
    <t>Woonadres</t>
  </si>
  <si>
    <t>Afhalen</t>
  </si>
  <si>
    <t>Bezorgen</t>
  </si>
  <si>
    <t>in de namiddag</t>
  </si>
  <si>
    <t>MAAK KEUZE Datum Levering</t>
  </si>
  <si>
    <t>MAAK KEUZE Betaalwijze</t>
  </si>
  <si>
    <t>MAAK KEUZE Afhalen of Bezorgen</t>
  </si>
  <si>
    <t>KIES Bezorgtijd</t>
  </si>
  <si>
    <t>Naam</t>
  </si>
  <si>
    <t>STEL ZELF UW BORRELSCHOTEL SAMEN</t>
  </si>
  <si>
    <t>GEEN SAUS</t>
  </si>
  <si>
    <t>.</t>
  </si>
  <si>
    <t>Over snacks heen</t>
  </si>
  <si>
    <t>MAAK KEUZE Borrelschotel</t>
  </si>
  <si>
    <t>MAAK KEUZE aantal snacks</t>
  </si>
  <si>
    <t>MAAK KEUZE snack 1</t>
  </si>
  <si>
    <t>MAAK KEUZE snack 2</t>
  </si>
  <si>
    <t>MAAK KEUZE snack 3</t>
  </si>
  <si>
    <t>MAAK KEUZE snack 4</t>
  </si>
  <si>
    <t>MAAK KEUZE snack 5</t>
  </si>
  <si>
    <t>GROOT 75 st. MET pan</t>
  </si>
  <si>
    <t>GROOT 75 st. ZONDER pan</t>
  </si>
  <si>
    <t>½ stok wit - ½ p.p.</t>
  </si>
  <si>
    <t>½ stok bruin - ½ p.p.</t>
  </si>
  <si>
    <t>gram</t>
  </si>
  <si>
    <t>stuks</t>
  </si>
  <si>
    <t>cups</t>
  </si>
  <si>
    <t xml:space="preserve">Keramisch Bord + RVS bestek met servet: KLANT haalt op, brengt terug + wast af </t>
  </si>
  <si>
    <t xml:space="preserve">Keramisch Bord + RVS bestek met bestek: WIJ bezorgen, halen op + wassen af </t>
  </si>
  <si>
    <t>KLEIN 32 st.+ 3 sausjes</t>
  </si>
  <si>
    <t>Kies toevoeging saus --&gt;</t>
  </si>
  <si>
    <t>In bakje los erbij</t>
  </si>
  <si>
    <t>9.</t>
  </si>
  <si>
    <t>LOSSE TAPAS IN BAKJE / BOWLS</t>
  </si>
  <si>
    <t>Klik &amp; Kies aantal Bakjes/Bowls ---&gt;</t>
  </si>
  <si>
    <t>Klik &amp; Kies  Tapa ---&gt;</t>
  </si>
  <si>
    <t>Kies</t>
  </si>
  <si>
    <t>Klik &amp; Kies SCHOTEL ---&gt;</t>
  </si>
  <si>
    <t>Klik &amp; Kies aantal schotels ---&gt;</t>
  </si>
  <si>
    <t>SCHOTELS</t>
  </si>
  <si>
    <t>HOLLANDSE PINTXOS</t>
  </si>
  <si>
    <t>BASKISCHE PINTXOS</t>
  </si>
  <si>
    <t>Kies aantal Pintxos</t>
  </si>
  <si>
    <t>Klik &amp; Kies Aantal stuks ---&gt;</t>
  </si>
  <si>
    <t>Klik &amp; Kies Aantal Dozen High Tea ---&gt;</t>
  </si>
  <si>
    <t>10.</t>
  </si>
  <si>
    <t>11.</t>
  </si>
  <si>
    <t>12.</t>
  </si>
  <si>
    <t>13.</t>
  </si>
  <si>
    <t>TAPA: Bakje met 10 spiesjes Voltaball.+ A'dams uitje</t>
  </si>
  <si>
    <t>TAPA: Bakje met 10 spiesjes Tortilla-spek</t>
  </si>
  <si>
    <t>TAPA: Bakje met 10 spiesjes mini wraps carpaccio.</t>
  </si>
  <si>
    <t xml:space="preserve">TAPA: Bakje met 10 spiesjes mini wraps Vitello Tonato </t>
  </si>
  <si>
    <t>TAPA: Bakje met 10 spiesjes mini wraps kip-Andaluz</t>
  </si>
  <si>
    <t>TAPA: Bakje met 12 spiesjes knaks-augurk</t>
  </si>
  <si>
    <t>TAPA: Bakje met 12 spiesjes Kaas-Druif of tomaatje</t>
  </si>
  <si>
    <t>TAPA: Bakje met 10 kokertjes Kaas-Cervelaat</t>
  </si>
  <si>
    <t>TAPA: Portie olijven gevuld met paprika</t>
  </si>
  <si>
    <t>TAPA: Bakje met 10 Griekse balletjes in Tzatziki saus</t>
  </si>
  <si>
    <t>TAPA: Bakje (8x2) spiesjes Boquerones rondom olijf/paprika</t>
  </si>
  <si>
    <t>TAPA: Bakje met 10 spiesjes tonijn in tomaatje</t>
  </si>
  <si>
    <t>TAPA: Bakje met 10 mini wraps Zalm</t>
  </si>
  <si>
    <t>TAPA: Portie Peppadews 14 st. (zoete pepers/roomkaas)</t>
  </si>
  <si>
    <t>TAPA: Sushi MIX klein (8 st.)</t>
  </si>
  <si>
    <t>TAPA: Sushi MIX Groot (16 st.)</t>
  </si>
  <si>
    <t>TAPA: Sushi met alleen ZALM (6 st.)</t>
  </si>
  <si>
    <t>TAPA: Sushi met alleen Garnalen (6 st.)</t>
  </si>
  <si>
    <t>TAPA: Bowl met 15 Griekse knotsjes</t>
  </si>
  <si>
    <t>TAPA: Bowl met 12 mini Griekse kipspiesjes</t>
  </si>
  <si>
    <t>TAPA: Bowl met 12 Albóndigas en salsa tomata</t>
  </si>
  <si>
    <t>TAPA: Bowl met 12 mini varkenshaasspiesjes in satésaus</t>
  </si>
  <si>
    <t>Baskische Pintxos 16 stuks</t>
  </si>
  <si>
    <t>Baskische Pintxos 24 stuks</t>
  </si>
  <si>
    <t>Baskische Pintxos 32 stuks</t>
  </si>
  <si>
    <t>Baskische Pintxos 40 stuks</t>
  </si>
  <si>
    <t>Baskische Pintxos 48 stuks</t>
  </si>
  <si>
    <t>Baskische Pintxos 56 stuks</t>
  </si>
  <si>
    <t>Baskische Pintxos 64 stuks</t>
  </si>
  <si>
    <t>Baskische Pintxos 72 stuks</t>
  </si>
  <si>
    <t>Baskische Pintxos 80 stuks</t>
  </si>
  <si>
    <t>Baskische Pintxos meer dan 80 st.---&gt; BEL ONS</t>
  </si>
  <si>
    <t>op aanvraag</t>
  </si>
  <si>
    <t>14.</t>
  </si>
  <si>
    <t>MINI WRAPS SCHOTEL</t>
  </si>
  <si>
    <t>KIES BELEG ---&gt;</t>
  </si>
  <si>
    <t>BRIE: Mosterd-Honing saus-Komkommer-walnoot</t>
  </si>
  <si>
    <t>EIERSALADE: curry-rucola sla-tomaat-peterselie</t>
  </si>
  <si>
    <t>KAAS-CERVELAAT: augurkje-tomaatje-peterselie</t>
  </si>
  <si>
    <t>HUMMUS: zongedroogd tomaatje-olijf</t>
  </si>
  <si>
    <t>TONIJNSALADE: ei-zongedroogd tomaatje</t>
  </si>
  <si>
    <t>TORTILLA-SPEK: rucola-tomaatje</t>
  </si>
  <si>
    <t>ZEEUW SPEK: mosterd-peterselie</t>
  </si>
  <si>
    <t>KIP gegrild: Andalouse saus, olijf</t>
  </si>
  <si>
    <t xml:space="preserve"> met</t>
  </si>
  <si>
    <t>MINIMAAL 8 stuks</t>
  </si>
  <si>
    <t>Baskische Pintxos zijn vanaf</t>
  </si>
  <si>
    <t>MINIMAAL 16 stuks</t>
  </si>
  <si>
    <t>PER BELEGSOORT</t>
  </si>
  <si>
    <t>Klik &amp; Kies Tapa 1 ---&gt;</t>
  </si>
  <si>
    <t>Voltaball.+ A'dams uitje</t>
  </si>
  <si>
    <t>mini wraps carpaccio</t>
  </si>
  <si>
    <t>mini wraps kip-Andaluz</t>
  </si>
  <si>
    <t>mini wraps Vitello Tonato</t>
  </si>
  <si>
    <t>Portie olijven met paprika</t>
  </si>
  <si>
    <t>Griekse ball.Tzatziki saus</t>
  </si>
  <si>
    <t>Boquerones olijf/paprika</t>
  </si>
  <si>
    <t>Peppadews</t>
  </si>
  <si>
    <t>Voltaballetjes</t>
  </si>
  <si>
    <t>Klik &amp; Kies Tapa 2 ---&gt;</t>
  </si>
  <si>
    <t>Klik &amp; Kies Tapa 3 ---&gt;</t>
  </si>
  <si>
    <t>Klik &amp; Kies Tapa 4 ---&gt;</t>
  </si>
  <si>
    <t>Klik &amp; Kies Tapa 5 ---&gt;</t>
  </si>
  <si>
    <t>Klik &amp; Kies Tapa 6 ---&gt;</t>
  </si>
  <si>
    <t>Klik &amp; Kies Tapa 7 ---&gt;</t>
  </si>
  <si>
    <t>BAKJES/BOWLS</t>
  </si>
  <si>
    <t>TAPAS</t>
  </si>
  <si>
    <t>(Minimaal 3 dezelfde schotels)</t>
  </si>
  <si>
    <t>TAPAS schotels 7-VAKS</t>
  </si>
  <si>
    <t>Minimaal</t>
  </si>
  <si>
    <t>RIJ 1</t>
  </si>
  <si>
    <t>RIJ 2</t>
  </si>
  <si>
    <t>RIJ 3</t>
  </si>
  <si>
    <t>RIJ 4</t>
  </si>
  <si>
    <t>RIJ 5</t>
  </si>
  <si>
    <t>RIJ 6</t>
  </si>
  <si>
    <t>RIJ 7</t>
  </si>
  <si>
    <t>RIJ 8</t>
  </si>
  <si>
    <t>RIJ 9</t>
  </si>
  <si>
    <t>RIJ 10</t>
  </si>
  <si>
    <t>RIJ 11</t>
  </si>
  <si>
    <t>RIJ 12</t>
  </si>
  <si>
    <t>RIJ 13</t>
  </si>
  <si>
    <t>RIJ 14</t>
  </si>
  <si>
    <t>RIJ 15</t>
  </si>
  <si>
    <t>RIJ 16</t>
  </si>
  <si>
    <t>Klik &amp; Kies BROODSOORT</t>
  </si>
  <si>
    <t>Klik &amp; Kies BELEG</t>
  </si>
  <si>
    <t>Kaas met boter</t>
  </si>
  <si>
    <t>Kaas zonder boter</t>
  </si>
  <si>
    <t>Achterham met boter</t>
  </si>
  <si>
    <t>Achterham zonder boter</t>
  </si>
  <si>
    <t>Cervelaat met boter</t>
  </si>
  <si>
    <t>Cervelaat zonder boter</t>
  </si>
  <si>
    <t>Volta</t>
  </si>
  <si>
    <t>Gezond</t>
  </si>
  <si>
    <t>Tonijnsalade</t>
  </si>
  <si>
    <t>Eiersalade</t>
  </si>
  <si>
    <t>Paté</t>
  </si>
  <si>
    <t>Beenham</t>
  </si>
  <si>
    <t>Brie</t>
  </si>
  <si>
    <t>Kip Kerrie salade</t>
  </si>
  <si>
    <t>Serrano Ham</t>
  </si>
  <si>
    <t>Kipfilet/Andaluz</t>
  </si>
  <si>
    <t>Hummus</t>
  </si>
  <si>
    <t>Gerookte zalm</t>
  </si>
  <si>
    <t>Vitello Tonato</t>
  </si>
  <si>
    <t>Carpaccio</t>
  </si>
  <si>
    <t>Andaluz</t>
  </si>
  <si>
    <t>Prijs PER RIJ</t>
  </si>
  <si>
    <t>Aantal</t>
  </si>
  <si>
    <t>incl. BTW</t>
  </si>
  <si>
    <t>PER RIJ</t>
  </si>
  <si>
    <t>RIJ 17</t>
  </si>
  <si>
    <t>RIJ 18</t>
  </si>
  <si>
    <t>RIJ 19</t>
  </si>
  <si>
    <t>RIJ 20</t>
  </si>
  <si>
    <t>RIJ 21</t>
  </si>
  <si>
    <t>RIJ 22</t>
  </si>
  <si>
    <t>RIJ 23</t>
  </si>
  <si>
    <t>RIJ 24</t>
  </si>
  <si>
    <t>RIJ 25</t>
  </si>
  <si>
    <t>RIJ 26</t>
  </si>
  <si>
    <t>RIJ 27</t>
  </si>
  <si>
    <t>RIJ 28</t>
  </si>
  <si>
    <t>RIJ 29</t>
  </si>
  <si>
    <t>RIJ 30</t>
  </si>
  <si>
    <t>15.</t>
  </si>
  <si>
    <t>Klik &amp; Kies Aantal</t>
  </si>
  <si>
    <t>Water blauw 0,5 ltr.</t>
  </si>
  <si>
    <t>Water rood 0,5 ltr.</t>
  </si>
  <si>
    <t>Coca Cola Regular 33 cl.</t>
  </si>
  <si>
    <t>Coca Cola Zero 33 cl.</t>
  </si>
  <si>
    <t>Fanta Orange 33 cl.</t>
  </si>
  <si>
    <t>Ice Tea Sparkling Lipton 33 cl.</t>
  </si>
  <si>
    <t>Ice Tea Green Lipton 33 cl.</t>
  </si>
  <si>
    <t>Red Bull 25 cl.</t>
  </si>
  <si>
    <t>AA-drink 25 cl.</t>
  </si>
  <si>
    <t>Fanta Cassis 33 cl.</t>
  </si>
  <si>
    <t>K O U D E   D R A N K E N</t>
  </si>
  <si>
    <t>Wijn WIT (0,7 ltr)</t>
  </si>
  <si>
    <t>Wijn Rosé (0,7 ltr.)</t>
  </si>
  <si>
    <t>Wijn ROOD (0,7 ltr.)</t>
  </si>
  <si>
    <t>Bier/Alcohol 33 cl.</t>
  </si>
  <si>
    <t>Radler 0,0% 33 cl.</t>
  </si>
  <si>
    <t>Sprite/7-up 33 cl.</t>
  </si>
  <si>
    <t>Smoothie TROPICAL (aardbei-banaan) flesje 0,3 cl.</t>
  </si>
  <si>
    <t>Smoothie SUNSHINE (mango-ananas) flesje 0,3 cl.</t>
  </si>
  <si>
    <t>Kies Wrapschotel</t>
  </si>
  <si>
    <t>DRANKEN</t>
  </si>
  <si>
    <t>16.</t>
  </si>
  <si>
    <t>Klik &amp; Kies ZOETIGHEID</t>
  </si>
  <si>
    <t>17.</t>
  </si>
  <si>
    <t>ZOETIGHEID</t>
  </si>
  <si>
    <t>Suikerwafels (per 24)</t>
  </si>
  <si>
    <t>Krentebollen (per 10)</t>
  </si>
  <si>
    <t>18.</t>
  </si>
  <si>
    <t>WARME LUNCH</t>
  </si>
  <si>
    <t>WARME LUNCH IN VOLTAPAN</t>
  </si>
  <si>
    <t>In zak los</t>
  </si>
  <si>
    <t>Op cateringschaal in -doos</t>
  </si>
  <si>
    <t>Klik &amp; Kies verpakking ---&gt;</t>
  </si>
  <si>
    <t>Klik &amp; Kies SOORT Wrap</t>
  </si>
  <si>
    <t>Klik &amp; Kies aantal H A L V E Wraps</t>
  </si>
  <si>
    <t>Gezond Vega</t>
  </si>
  <si>
    <t>Veggie</t>
  </si>
  <si>
    <t>Kipfilet</t>
  </si>
  <si>
    <t>Zalm</t>
  </si>
  <si>
    <t xml:space="preserve">HALVE WRAPS OP SCHOTEL </t>
  </si>
  <si>
    <t>HALVE WRAPS</t>
  </si>
  <si>
    <t xml:space="preserve">  - per 2 per soort</t>
  </si>
  <si>
    <t xml:space="preserve">  - minimaal 12 totaal</t>
  </si>
  <si>
    <r>
      <t xml:space="preserve">Chili con carne </t>
    </r>
    <r>
      <rPr>
        <b/>
        <sz val="10"/>
        <color rgb="FFFF0000"/>
        <rFont val="Arial"/>
        <family val="2"/>
      </rPr>
      <t>500 gr. p.p.</t>
    </r>
    <r>
      <rPr>
        <b/>
        <sz val="10"/>
        <color theme="1"/>
        <rFont val="Arial"/>
        <family val="2"/>
      </rPr>
      <t xml:space="preserve"> (levering koud)</t>
    </r>
  </si>
  <si>
    <t>Klik &amp; Kies SOORT Warme lunch</t>
  </si>
  <si>
    <t>Klik &amp; Kies Aantal personen</t>
  </si>
  <si>
    <t>Geplökte Hin</t>
  </si>
  <si>
    <t>Werrm sjink</t>
  </si>
  <si>
    <t>SUBTOTAAL</t>
  </si>
  <si>
    <t>Totaal incl. 9% BTW</t>
  </si>
  <si>
    <t>Totaal incl. 21% BTW</t>
  </si>
  <si>
    <t>Totaal 0% BTW (statiegeld)</t>
  </si>
  <si>
    <t>Statiegeld</t>
  </si>
  <si>
    <t>Totaal</t>
  </si>
  <si>
    <t>excl. statiegeld</t>
  </si>
  <si>
    <t>TOTAAL incl. BTW</t>
  </si>
  <si>
    <t>Klik &amp; Kies betaalwijze ---&gt;</t>
  </si>
  <si>
    <t>Klik &amp; Kies aantal personen ---&gt;</t>
  </si>
  <si>
    <t>Speklap Carribean</t>
  </si>
  <si>
    <t>Klik &amp; Kies aantal BBQ's ---&gt;</t>
  </si>
  <si>
    <t>Klik &amp; Kies aantal sets ---&gt;</t>
  </si>
  <si>
    <t>Beierse BBQ worst</t>
  </si>
  <si>
    <t>VOLTA Burger XL</t>
  </si>
  <si>
    <t>Speklap CARIBBEAN</t>
  </si>
  <si>
    <t>Met kassabon in winkel VOORAF uiterlijk 5 dagen voor levering</t>
  </si>
  <si>
    <t>Brochette Souvlaki</t>
  </si>
  <si>
    <t>Met kassabon per bank VOORAF uiterlijk 5 dagen voor levering</t>
  </si>
  <si>
    <t>Brochette Varkenssaté</t>
  </si>
  <si>
    <t>Op factuur per bank (alleen bedrijven en instellingen)</t>
  </si>
  <si>
    <t>Varkens Riblap Provencaal</t>
  </si>
  <si>
    <t>Souvlaki XL</t>
  </si>
  <si>
    <t>Western Steak (halslap)</t>
  </si>
  <si>
    <t>Saté varkenshaas XL</t>
  </si>
  <si>
    <t>Shaslick Varkenshaas TEXAS</t>
  </si>
  <si>
    <t>Saté Varkenshaas XL</t>
  </si>
  <si>
    <t>Brochette Varkenshaas TEXAS</t>
  </si>
  <si>
    <t>Westernsteak XL</t>
  </si>
  <si>
    <t>Kinderburger</t>
  </si>
  <si>
    <t>Drumstick ARGENTINA</t>
  </si>
  <si>
    <t>Hamburger XXL</t>
  </si>
  <si>
    <t>Kiphaasbrochette GREEK P.XL</t>
  </si>
  <si>
    <t>Varkens Shaslick</t>
  </si>
  <si>
    <t>Ribsteak TEX MEX XL</t>
  </si>
  <si>
    <t>Drumstick voorgegaard</t>
  </si>
  <si>
    <t>Kipsaté XL</t>
  </si>
  <si>
    <t>Kiphaasbrochette TOSCANA XL</t>
  </si>
  <si>
    <t>Kiphaasbrochette Gyros</t>
  </si>
  <si>
    <t>Kipsteak SIRTAKI</t>
  </si>
  <si>
    <t>Piri Piri Steak XL</t>
  </si>
  <si>
    <t>Brochette Kipsaté</t>
  </si>
  <si>
    <t>Kipsteak Greek Passion</t>
  </si>
  <si>
    <t>Kip Shaslick</t>
  </si>
  <si>
    <t>Kipbrochette Hawaï</t>
  </si>
  <si>
    <t>Kip-Shaslick Greek Passion</t>
  </si>
  <si>
    <t>Biefspies WESTERN</t>
  </si>
  <si>
    <t>Komkommersalade</t>
  </si>
  <si>
    <t>Brochette Gambas Aioli 5 st.</t>
  </si>
  <si>
    <t>Wortelsalade</t>
  </si>
  <si>
    <t>Griekse koolsalade</t>
  </si>
  <si>
    <t>Hollandse koude schotel</t>
  </si>
  <si>
    <t>Biefspies NATUUR XL</t>
  </si>
  <si>
    <t>Biefspies TAKOYAKI XL</t>
  </si>
  <si>
    <t>Biefspies DALLAS XL</t>
  </si>
  <si>
    <r>
      <rPr>
        <b/>
        <sz val="20"/>
        <color theme="0"/>
        <rFont val="Arial"/>
        <family val="2"/>
      </rPr>
      <t>4</t>
    </r>
    <r>
      <rPr>
        <b/>
        <sz val="12"/>
        <color theme="0"/>
        <rFont val="Arial"/>
        <family val="2"/>
      </rPr>
      <t>-delig BBQ vleespakket</t>
    </r>
  </si>
  <si>
    <r>
      <rPr>
        <b/>
        <sz val="20"/>
        <color theme="0"/>
        <rFont val="Arial"/>
        <family val="2"/>
      </rPr>
      <t>5</t>
    </r>
    <r>
      <rPr>
        <b/>
        <sz val="12"/>
        <color theme="0"/>
        <rFont val="Arial"/>
        <family val="2"/>
      </rPr>
      <t>-delig BBQ vleespakket</t>
    </r>
  </si>
  <si>
    <r>
      <rPr>
        <b/>
        <sz val="20"/>
        <color theme="0"/>
        <rFont val="Arial"/>
        <family val="2"/>
      </rPr>
      <t>6</t>
    </r>
    <r>
      <rPr>
        <b/>
        <sz val="12"/>
        <color theme="0"/>
        <rFont val="Arial"/>
        <family val="2"/>
      </rPr>
      <t>-delig BBQ vleespakket</t>
    </r>
  </si>
  <si>
    <t>Zalmspies</t>
  </si>
  <si>
    <t>VLEES</t>
  </si>
  <si>
    <t>Tex Mex Riblap</t>
  </si>
  <si>
    <t>Biefspies DALLAS</t>
  </si>
  <si>
    <t>Western Steak XL</t>
  </si>
  <si>
    <t>Pastasalade VOLTA</t>
  </si>
  <si>
    <t>PAKKETTEN</t>
  </si>
  <si>
    <t>Pastasalade Spek</t>
  </si>
  <si>
    <t>ALL-IN</t>
  </si>
  <si>
    <r>
      <rPr>
        <b/>
        <sz val="20"/>
        <color theme="0"/>
        <rFont val="Arial"/>
        <family val="2"/>
      </rPr>
      <t>9</t>
    </r>
    <r>
      <rPr>
        <b/>
        <sz val="12"/>
        <color theme="0"/>
        <rFont val="Arial"/>
        <family val="2"/>
      </rPr>
      <t>-delig BBQ Keuzepakket</t>
    </r>
  </si>
  <si>
    <r>
      <rPr>
        <b/>
        <sz val="20"/>
        <color theme="0"/>
        <rFont val="Arial"/>
        <family val="2"/>
      </rPr>
      <t>13</t>
    </r>
    <r>
      <rPr>
        <b/>
        <sz val="12"/>
        <color theme="0"/>
        <rFont val="Arial"/>
        <family val="2"/>
      </rPr>
      <t>-delig BBQ Keuzepakket</t>
    </r>
  </si>
  <si>
    <r>
      <rPr>
        <b/>
        <sz val="20"/>
        <color theme="0"/>
        <rFont val="Arial"/>
        <family val="2"/>
      </rPr>
      <t>16</t>
    </r>
    <r>
      <rPr>
        <b/>
        <sz val="12"/>
        <color theme="0"/>
        <rFont val="Arial"/>
        <family val="2"/>
      </rPr>
      <t>-delig BBQ Keuzepakket</t>
    </r>
  </si>
  <si>
    <t>Cocktailsaus</t>
  </si>
  <si>
    <t>KEUZE</t>
  </si>
  <si>
    <t>Andalouse saus</t>
  </si>
  <si>
    <t>BBQ HUUR</t>
  </si>
  <si>
    <t>Kies Vleessoort BASIS pakket ---&gt;</t>
  </si>
  <si>
    <t>Kies Vleessoort LUXE pakket ---&gt;</t>
  </si>
  <si>
    <t>Kies Vleessoort EXCL. pakket ---&gt;</t>
  </si>
  <si>
    <t>Kies Salade BASIS pakket ---&gt;</t>
  </si>
  <si>
    <t>Kies saus LUXE pakket ---&gt;</t>
  </si>
  <si>
    <t>Kies Salade LUXE pakket---&gt;</t>
  </si>
  <si>
    <t>Kies Salade EXCL. pakket---&gt;</t>
  </si>
  <si>
    <t>Kies saus EXCL. pakket ---&gt;</t>
  </si>
  <si>
    <t>Klik &amp; Kies soort Borden &amp; Bestek en service ---&gt;</t>
  </si>
  <si>
    <t>KLANT haalt BBQ op en brengt hem terug. VOLTAFOOD doet schoonmaak.</t>
  </si>
  <si>
    <t>VOLTAFOOD brengt BBQ en haalt hem weer op en doet de schoonmaak.</t>
  </si>
  <si>
    <t>Kipsteak SIRTAKI XL</t>
  </si>
  <si>
    <t>SALADES</t>
  </si>
  <si>
    <t>SAUZEN</t>
  </si>
  <si>
    <t>KRUIDENBOTER</t>
  </si>
  <si>
    <t>STOKBROOD</t>
  </si>
  <si>
    <t>Kies Vleessoort ---&gt;</t>
  </si>
  <si>
    <t>Pastasalade Kip pikant</t>
  </si>
  <si>
    <t>Pastasalade spek</t>
  </si>
  <si>
    <t>Klik &amp; Kies Saladesoort ---&gt;</t>
  </si>
  <si>
    <t>Klik &amp; Kies gewicht in grammen ---&gt;</t>
  </si>
  <si>
    <t>Klik &amp; Kies aantal cups ---&gt;</t>
  </si>
  <si>
    <t>Klik &amp; Kies soort saus ---&gt;</t>
  </si>
  <si>
    <t>Klik &amp; Kies broodsoort ---&gt;</t>
  </si>
  <si>
    <t>Stokbrood WIT ½ stok - 27 cm.</t>
  </si>
  <si>
    <t>Stokbrood Tarwe ½ stok - 27 cm.</t>
  </si>
  <si>
    <t>Klik &amp; Kies aantal ½ stokbroodjes ---&gt;</t>
  </si>
  <si>
    <t>GOURMET</t>
  </si>
  <si>
    <t xml:space="preserve"> All-IN Gourmet</t>
  </si>
  <si>
    <t>17-delig All-In Gourmet</t>
  </si>
  <si>
    <t>Aantal personen</t>
  </si>
  <si>
    <t>Scampi's Aioli</t>
  </si>
  <si>
    <t>Kogelbiefstuk * Rosbief * Kipfilet * Ontbijtspek * Mini hamburgers</t>
  </si>
  <si>
    <t>VIS</t>
  </si>
  <si>
    <t>Griekse koolsalade * Voltasalade</t>
  </si>
  <si>
    <t>Komkommersalade* Eiersalade* Wortelsalade</t>
  </si>
  <si>
    <t>HUISGEMAAKTE SALADES</t>
  </si>
  <si>
    <t>HUISGEMAAKTE SAUZEN</t>
  </si>
  <si>
    <t>Cocktail * Knoflook * Chili * Andalouse</t>
  </si>
  <si>
    <t>WIT STOKBROOD</t>
  </si>
  <si>
    <t>Klik &amp; Kies va. 6 pers.--&gt;</t>
  </si>
  <si>
    <t xml:space="preserve">Alleen vlees/vis  </t>
  </si>
  <si>
    <t>Klik &amp; Kies va. 4 pers.--&gt;</t>
  </si>
  <si>
    <t>Telefoon</t>
  </si>
  <si>
    <t>E-mail</t>
  </si>
  <si>
    <t>OPMERKING:</t>
  </si>
  <si>
    <t>EXTRA SERVICE:  WARME AANLEVERING</t>
  </si>
  <si>
    <t>LUNCHSCHALEN BELEGDE BROODJES (koud beleg)</t>
  </si>
  <si>
    <t>- Koude aanvullingen</t>
  </si>
  <si>
    <t>- Warme gerechten</t>
  </si>
  <si>
    <t>- Desserts</t>
  </si>
  <si>
    <t>- Borden &amp; Bestek</t>
  </si>
  <si>
    <t>- Keuze Tapasschalen (vanaf 3 dezelfde!)</t>
  </si>
  <si>
    <t>- Pintxos NL</t>
  </si>
  <si>
    <t>- Pintxos Baskisch</t>
  </si>
  <si>
    <t>- Mini wraps op schaal</t>
  </si>
  <si>
    <t>- Smoothies &amp; (koude) dranken</t>
  </si>
  <si>
    <t>- Halve wraps op schaal</t>
  </si>
  <si>
    <t>- Warme lunch in Voltapan</t>
  </si>
  <si>
    <t>- 17-delig All-In</t>
  </si>
  <si>
    <t>BBQ KEUZEPAKKETTEN</t>
  </si>
  <si>
    <t>SCROL VOOR ALLE MOGELIJKHEDEN</t>
  </si>
  <si>
    <t>VERSTUUR BESTELLING</t>
  </si>
  <si>
    <t>Groep BORREL:</t>
  </si>
  <si>
    <t>Groep TAPAS:</t>
  </si>
  <si>
    <t>Groep BEDRIJFSLUNCH / EVENTS:</t>
  </si>
  <si>
    <t>Groep BBQ:</t>
  </si>
  <si>
    <t>Groep GOURMET:</t>
  </si>
  <si>
    <t>BEZORGKOSTEN:</t>
  </si>
  <si>
    <t>Na verwerking van uw bestelling in onze computer sturen wij u een bevestiging met betaalinstructie</t>
  </si>
  <si>
    <t>- Alléén Vlees &amp; Vis pakketten</t>
  </si>
  <si>
    <t>- Borrelschotels Groot &amp; Klein</t>
  </si>
  <si>
    <t>- Tapas per soort in Bakjes &amp; Bowls</t>
  </si>
  <si>
    <t>- Zoetigheid</t>
  </si>
  <si>
    <t>- Huur BBQ</t>
  </si>
  <si>
    <t>- Losse aankoop gourmet via winkel</t>
  </si>
  <si>
    <t xml:space="preserve">WAT WILT U BESTELLEN ? </t>
  </si>
  <si>
    <r>
      <t>PLAATS EEN BESTELLING IN 3</t>
    </r>
    <r>
      <rPr>
        <b/>
        <sz val="25"/>
        <color theme="0"/>
        <rFont val="Calibri"/>
        <family val="2"/>
        <scheme val="minor"/>
      </rPr>
      <t xml:space="preserve"> STAPPEN</t>
    </r>
  </si>
  <si>
    <r>
      <rPr>
        <b/>
        <sz val="30"/>
        <color rgb="FF00153E"/>
        <rFont val="Aharoni"/>
        <charset val="177"/>
      </rPr>
      <t xml:space="preserve">CATERING/BBQ/GOURMET </t>
    </r>
    <r>
      <rPr>
        <b/>
        <sz val="40"/>
        <color rgb="FF00153E"/>
        <rFont val="Aharoni"/>
        <charset val="177"/>
      </rPr>
      <t>BESTELLING</t>
    </r>
  </si>
  <si>
    <t>LUXE</t>
  </si>
  <si>
    <t>EXCLUSIEF</t>
  </si>
  <si>
    <t>Visschotel BASIS</t>
  </si>
  <si>
    <t>Visschotel LUXE</t>
  </si>
  <si>
    <t>Muffin Choco</t>
  </si>
  <si>
    <t>Rosbief</t>
  </si>
  <si>
    <t>BASIS</t>
  </si>
  <si>
    <t>EXCL.</t>
  </si>
  <si>
    <t>Muffin Bosbessen</t>
  </si>
  <si>
    <t>Muffin Vanille</t>
  </si>
  <si>
    <t>Stroopwafels (per 36)</t>
  </si>
  <si>
    <t>Bakjes (met deksel) Chocolade mousse 100 gr. per bakje (min. 6 bakjes)</t>
  </si>
  <si>
    <t>Pist. wit GROOT - 1 p.p.</t>
  </si>
  <si>
    <t>Pist. bruin GROOT - 1 p.p.</t>
  </si>
  <si>
    <t>Pist. wit MINI - 1 p.p.</t>
  </si>
  <si>
    <t>TAPA: Rolletjes Vitello-Tonato 10 st.</t>
  </si>
  <si>
    <t>TAPA: Bowl met 12 mini varkens souvlaki's</t>
  </si>
  <si>
    <t>TAPA: Bowl met 15 Spekspiesjes</t>
  </si>
  <si>
    <t>TAPA: Bowl met 15 Voltaballetjes</t>
  </si>
  <si>
    <t>TAPA: Bowl met 15 Samoerai balletjes</t>
  </si>
  <si>
    <t>TAPA: Bowl met 15 Java balletjes</t>
  </si>
  <si>
    <t>TAPA: Bowl met 15 Vega-/Groenteballetjes</t>
  </si>
  <si>
    <t>TAPA: Bowl met 12 mini Kipsaté spiesjes</t>
  </si>
  <si>
    <t>Kies hoe saus leveren? ---&gt;</t>
  </si>
  <si>
    <t>Tortilla-spek spiesjes</t>
  </si>
  <si>
    <t>knaks-augurk spiesjes</t>
  </si>
  <si>
    <t>Kaas-Druif spiesjes</t>
  </si>
  <si>
    <t>Kaas-Cervelaat kokertjes</t>
  </si>
  <si>
    <t>Tonijnsal./tomaat spiesjes</t>
  </si>
  <si>
    <t>Groente-/Vega balletjes</t>
  </si>
  <si>
    <t>Albóndigas/tomatensaus</t>
  </si>
  <si>
    <t>Mini wraps GROOT 45 st. (kip/carpaccio/zalm) op 55cm. Schaal</t>
  </si>
  <si>
    <t>Mini Wraps KLEIN 20 st. (kip/carpaccio) op 35 cm. schaal</t>
  </si>
  <si>
    <t>Klik &amp; Kies PINTXOS NL Schotel ---&gt;</t>
  </si>
  <si>
    <t>Hollandse Pintxos Gezond GROOT 30 st. op 55 cm. schaal</t>
  </si>
  <si>
    <t>Hollandse Pintxos Salades GROOT 30 st. op 55 cm. schaal</t>
  </si>
  <si>
    <t>Hollandse Pintxos Vis GROOT 30 st. op 55 cm. schaal</t>
  </si>
  <si>
    <t>Hollandse Pintxos Vleeswaren GROOT 30 st. op 55 cm. schaal</t>
  </si>
  <si>
    <t>Hollandse Pintxos Volta GROOT 30 st. op 55cm. Schaal</t>
  </si>
  <si>
    <t>Hollandse Pintxos Gezond KLEIN 12  st. op 35 cm. schaal</t>
  </si>
  <si>
    <t>Hollandse Pintxos Salades KLEIN 12 st. op 35 cm. schaal</t>
  </si>
  <si>
    <t>Hollandse Pintxos Vis KLEIN 12 st. op 35 cm. schaal</t>
  </si>
  <si>
    <t>Hollandse Pintxos Vleeswaren KLEIN 12 st. op 35 cm. schaal</t>
  </si>
  <si>
    <t>Hollandse Pintxos Volta KLEIN 12 st. op 35 cm. schaal</t>
  </si>
  <si>
    <t>ZALM: cocktailsaus-verse uitjes-ei-dille</t>
  </si>
  <si>
    <t>SERRANO HAM: Mosterd/Honing saus-rucola-olijf</t>
  </si>
  <si>
    <t>Cola R.</t>
  </si>
  <si>
    <t>Cola Z.</t>
  </si>
  <si>
    <t>Voltaballen</t>
  </si>
  <si>
    <t>Bitterballen</t>
  </si>
  <si>
    <t>Stokbrood BRUIN 14 cm. extra breed</t>
  </si>
  <si>
    <t>Stokbrood WIT  14 cm. extra breed</t>
  </si>
  <si>
    <t>Pistolets WIT  roomboter 14 cm.</t>
  </si>
  <si>
    <t>Pistolets BRUIN 14 cm.</t>
  </si>
  <si>
    <t>Gevulde koeken (per 30)</t>
  </si>
  <si>
    <t>Tzatziki</t>
  </si>
  <si>
    <t>Gambaspies Pil Pil</t>
  </si>
  <si>
    <t>Gambaspies Pil Pil XL</t>
  </si>
  <si>
    <t>Klik &amp; Kies BBQ huur en service ---&gt;</t>
  </si>
  <si>
    <t>VARKENSVLEES</t>
  </si>
  <si>
    <t>KIP</t>
  </si>
  <si>
    <t>RUNDVLEES</t>
  </si>
  <si>
    <t>Klik &amp; Kies aantal stuks ---&gt;</t>
  </si>
  <si>
    <t>Kruidenboter cups 10 gr.</t>
  </si>
  <si>
    <t>Mini hamburgers - Scampi's Aioli</t>
  </si>
  <si>
    <t>Kogelbiefstuk * Rosbief * Kipfilet * Ontbijtspek *</t>
  </si>
  <si>
    <t>BBQ ZELF SAMENSTELLEN of AANVULLEN</t>
  </si>
  <si>
    <t>Warme aanlevering in Bain Marie incl. ophalen + afwas</t>
  </si>
  <si>
    <t>Keram. Bord/ RVS bestek: KLANT haalt op/brengt terug/wast af</t>
  </si>
  <si>
    <t>KOOP Suikerriet bord + kunststof metal Look bestek met servet</t>
  </si>
  <si>
    <t>Keram. Bord/ RVS bestek: WIJ bezorgen, halen op, wassen af</t>
  </si>
  <si>
    <t>- 6-delig alleen vlees/vis</t>
  </si>
  <si>
    <t>- BBQ zelf samenstellen</t>
  </si>
  <si>
    <t>- All-IN Keuzepakketten</t>
  </si>
  <si>
    <t>- Borrelhapjes in Bakjes &amp; Bowls PER SOORT</t>
  </si>
  <si>
    <t>NIET TOT STANDAARD ASSORTIMENT BEHOREND</t>
  </si>
  <si>
    <r>
      <t xml:space="preserve">Wilt u iets bestellen dat NIET binnen ons </t>
    </r>
    <r>
      <rPr>
        <b/>
        <i/>
        <sz val="14"/>
        <color rgb="FF002060"/>
        <rFont val="Calibri"/>
        <family val="2"/>
        <scheme val="minor"/>
      </rPr>
      <t xml:space="preserve">standaard </t>
    </r>
    <r>
      <rPr>
        <b/>
        <sz val="14"/>
        <color rgb="FF002060"/>
        <rFont val="Calibri"/>
        <family val="2"/>
        <scheme val="minor"/>
      </rPr>
      <t>cateringassortiment valt of kunt u binnen de groepen niet vinden wat u wilt bestellen?</t>
    </r>
  </si>
  <si>
    <t>NOTEERT UW BESTELLING HIERONDER.</t>
  </si>
  <si>
    <t>Prijzen of andere gegevens zullen wij u dan in een bevestigingsmail aan u terug sturen.</t>
  </si>
  <si>
    <t>U HEEFT BESTELD:</t>
  </si>
  <si>
    <t>Save dit bestand onder een andere naam en mail het mee als BIJLAGE</t>
  </si>
  <si>
    <r>
      <rPr>
        <b/>
        <sz val="15"/>
        <color rgb="FFFF0000"/>
        <rFont val="Calibri"/>
        <family val="2"/>
        <scheme val="minor"/>
      </rPr>
      <t>STAP 3:</t>
    </r>
    <r>
      <rPr>
        <b/>
        <sz val="15"/>
        <color rgb="FF002060"/>
        <rFont val="Calibri"/>
        <family val="2"/>
        <scheme val="minor"/>
      </rPr>
      <t xml:space="preserve"> SAVE dit bestand onder een andere naam en mail het mee als BIJLAGE naar info@voltafood.nl</t>
    </r>
  </si>
  <si>
    <t>Groep OVERIG:</t>
  </si>
  <si>
    <t>GROEP KOUDE BUFFETTEN + AANVULLINGEN</t>
  </si>
  <si>
    <t>Exclusief All-In buffet 16-delig</t>
  </si>
  <si>
    <t>Luxe All-In Buffet 14-delig</t>
  </si>
  <si>
    <t>Basisschotel van Luxe buffet</t>
  </si>
  <si>
    <t>Basisschotel van Exclusieve buffet</t>
  </si>
  <si>
    <t>LET OP! Wij leggen de rijen op de schalen in de volgorde zoals u ze hieronder aangeeft!</t>
  </si>
  <si>
    <t>Dus rij 1 t/m 3 is op een GROTE schaal links, midden en rechts. Rij 4 t/m 6 is op zo'n schaal ook weer links, midden, rechts. Enz.</t>
  </si>
  <si>
    <t>Pasta VOLTA/Ham</t>
  </si>
  <si>
    <t>Pasta Kip pikant</t>
  </si>
  <si>
    <t>Pasta Spek</t>
  </si>
  <si>
    <t>Monegaske saus</t>
  </si>
  <si>
    <t>½ stokbroodje WIT</t>
  </si>
  <si>
    <t>½ stoklbroodje Tarwe</t>
  </si>
  <si>
    <t>Pistolet GROOT WIT</t>
  </si>
  <si>
    <t>Pistolet GROOT BRUIN</t>
  </si>
  <si>
    <t>Pistolet MINI WIT</t>
  </si>
  <si>
    <t>Kruidenboter cup</t>
  </si>
  <si>
    <t>Pastaschotel</t>
  </si>
  <si>
    <t>Gevulde eitjes schotel GROOT</t>
  </si>
  <si>
    <t>Gevulde eitjes schotel KLEIN</t>
  </si>
  <si>
    <r>
      <t>Gesneden Beenham 150 gr. p.p./</t>
    </r>
    <r>
      <rPr>
        <sz val="11"/>
        <color theme="9" tint="-0.249977111117893"/>
        <rFont val="Calibri"/>
        <family val="2"/>
        <scheme val="minor"/>
      </rPr>
      <t>Champ. roomsaus</t>
    </r>
    <r>
      <rPr>
        <sz val="11"/>
        <color theme="1"/>
        <rFont val="Calibri"/>
        <family val="2"/>
        <scheme val="minor"/>
      </rPr>
      <t xml:space="preserve"> 1 ltr.</t>
    </r>
  </si>
  <si>
    <r>
      <t xml:space="preserve">Varkenshaaspoulet in </t>
    </r>
    <r>
      <rPr>
        <sz val="11"/>
        <color theme="9" tint="-0.249977111117893"/>
        <rFont val="Calibri"/>
        <family val="2"/>
        <scheme val="minor"/>
      </rPr>
      <t>Champignonsaus</t>
    </r>
    <r>
      <rPr>
        <sz val="11"/>
        <color theme="1"/>
        <rFont val="Calibri"/>
        <family val="2"/>
        <scheme val="minor"/>
      </rPr>
      <t xml:space="preserve"> 300 gr.</t>
    </r>
  </si>
  <si>
    <r>
      <t>Gesneden Beenham 150 gr. p.p./</t>
    </r>
    <r>
      <rPr>
        <sz val="11"/>
        <color rgb="FFFF0000"/>
        <rFont val="Calibri"/>
        <family val="2"/>
        <scheme val="minor"/>
      </rPr>
      <t>Stroganoff saus</t>
    </r>
    <r>
      <rPr>
        <sz val="11"/>
        <color theme="1"/>
        <rFont val="Calibri"/>
        <family val="2"/>
        <scheme val="minor"/>
      </rPr>
      <t xml:space="preserve"> 1 ltr.</t>
    </r>
  </si>
  <si>
    <r>
      <t xml:space="preserve">Varkenshaaspoulet in </t>
    </r>
    <r>
      <rPr>
        <sz val="11"/>
        <color rgb="FFFF0000"/>
        <rFont val="Calibri"/>
        <family val="2"/>
        <scheme val="minor"/>
      </rPr>
      <t>Stroganoff saus</t>
    </r>
    <r>
      <rPr>
        <sz val="11"/>
        <color theme="1"/>
        <rFont val="Calibri"/>
        <family val="2"/>
        <scheme val="minor"/>
      </rPr>
      <t xml:space="preserve"> 300 gr.</t>
    </r>
  </si>
  <si>
    <r>
      <t>Gesneden Beenham 150 gr. p.p./</t>
    </r>
    <r>
      <rPr>
        <sz val="11"/>
        <color rgb="FF007635"/>
        <rFont val="Calibri"/>
        <family val="2"/>
        <scheme val="minor"/>
      </rPr>
      <t>Pepersaus</t>
    </r>
    <r>
      <rPr>
        <sz val="11"/>
        <color theme="1"/>
        <rFont val="Calibri"/>
        <family val="2"/>
        <scheme val="minor"/>
      </rPr>
      <t xml:space="preserve"> 1 ltr.</t>
    </r>
  </si>
  <si>
    <r>
      <t xml:space="preserve">Varkenshaaspoulet in </t>
    </r>
    <r>
      <rPr>
        <sz val="11"/>
        <color rgb="FF007635"/>
        <rFont val="Calibri"/>
        <family val="2"/>
        <scheme val="minor"/>
      </rPr>
      <t>Pepersaus</t>
    </r>
    <r>
      <rPr>
        <sz val="11"/>
        <color theme="1"/>
        <rFont val="Calibri"/>
        <family val="2"/>
        <scheme val="minor"/>
      </rPr>
      <t xml:space="preserve"> 300 gr.</t>
    </r>
  </si>
  <si>
    <t>Kippenragout p.p. 250 gr.</t>
  </si>
  <si>
    <t>Goulash p.p. 250 gr.</t>
  </si>
  <si>
    <r>
      <t xml:space="preserve">Chili con carne p.p. </t>
    </r>
    <r>
      <rPr>
        <b/>
        <sz val="11"/>
        <color rgb="FFFF0000"/>
        <rFont val="Calibri"/>
        <family val="2"/>
        <scheme val="minor"/>
      </rPr>
      <t>500</t>
    </r>
    <r>
      <rPr>
        <sz val="11"/>
        <color theme="1"/>
        <rFont val="Calibri"/>
        <family val="2"/>
        <scheme val="minor"/>
      </rPr>
      <t xml:space="preserve"> gr.</t>
    </r>
  </si>
  <si>
    <t>Tete de Veau p.p. 250 gr.</t>
  </si>
  <si>
    <t>Kipsaté p.p. 250 gr.</t>
  </si>
  <si>
    <t>Kip Pilav p.p. 250 gr.</t>
  </si>
  <si>
    <t>Zuurvlees p.p. 250 gr.</t>
  </si>
  <si>
    <t>Warme aanlevering 1 gerecht</t>
  </si>
  <si>
    <t>Warme aanlevering 2 gerechten</t>
  </si>
  <si>
    <t>Warme aanlevering 3 of meer gerechten</t>
  </si>
  <si>
    <t>Koude schotel</t>
  </si>
  <si>
    <t>Chocolade mousse bakje 100 gr.</t>
  </si>
  <si>
    <t>Fruitspiesjes schotel 60 st.</t>
  </si>
  <si>
    <t>Meloen-Serranoham spiesjes schotel 60 st.</t>
  </si>
  <si>
    <t>KOOP Suikerriet bord + Metal look Bestek met servet</t>
  </si>
  <si>
    <t>GROEP BORREL</t>
  </si>
  <si>
    <t>Borrelschotel KLEIN 32 st.</t>
  </si>
  <si>
    <t>Bakje saus bij GROTE borrelschotel</t>
  </si>
  <si>
    <t>Borrelschotel GROOT 75 st. MET Voltapan</t>
  </si>
  <si>
    <t>Borrelschotel GROOT 75 st. ZONDER pan</t>
  </si>
  <si>
    <t>TAPAS KEUZESCHOTEL 7-vaks bak</t>
  </si>
  <si>
    <t>Baskische Pintxos per stuk</t>
  </si>
  <si>
    <t>GROEP TAPAS</t>
  </si>
  <si>
    <t>GROEP LUNCH/EVENTS</t>
  </si>
  <si>
    <t>Stokbrood BRUIN 14 cm. extra breed BASISBELEG</t>
  </si>
  <si>
    <t>Stokbrood WIT  14 cm. extra breed BASISBELEG</t>
  </si>
  <si>
    <t>Pistolets WIT  roomboter 14 cm. BASISBELEG</t>
  </si>
  <si>
    <t>Pistolets BRUIN 14 cm. BASISBELEG</t>
  </si>
  <si>
    <t>Opslag per broodje LUXE BELEG</t>
  </si>
  <si>
    <t>Opslag per broodje EXCLUSIEF BELEG</t>
  </si>
  <si>
    <t>Verpakking op schaal in Doos</t>
  </si>
  <si>
    <t>Alle HALVE Wraps m.u.v. zalm</t>
  </si>
  <si>
    <t>Zalm HALVE wrap</t>
  </si>
  <si>
    <t>GROEP BBQ/GOURMET</t>
  </si>
  <si>
    <t>Alleen Vlees BASIS</t>
  </si>
  <si>
    <t>Alleen Vlees LUXE</t>
  </si>
  <si>
    <t>Alleen Vlees Exclusief</t>
  </si>
  <si>
    <t>ALL-IN BASIS</t>
  </si>
  <si>
    <t>ALL-IN LUXE</t>
  </si>
  <si>
    <t>All-IN EXCLUSIEF</t>
  </si>
  <si>
    <t>geen st.</t>
  </si>
  <si>
    <t>Statiegeld Flesjes/Blikjes</t>
  </si>
  <si>
    <t>HUUR Keramisch bord + RVS bestek met servet: KLANT doet werk</t>
  </si>
  <si>
    <t>HUUR Keramisch bord + RVS bestek met servet: VOLTA doet werk</t>
  </si>
  <si>
    <t>Gourmet alleen vlees</t>
  </si>
  <si>
    <t>Gourmet 18-delig All-In</t>
  </si>
  <si>
    <t>z.statie</t>
  </si>
  <si>
    <t>BBQ huur KLANT doet werk</t>
  </si>
  <si>
    <t>BBQ huur VOLTA doet werk</t>
  </si>
  <si>
    <t>Visschotel BASIS 6-delig, in 7 vaks cateringschaal</t>
  </si>
  <si>
    <t>VAST: cocktailsaus</t>
  </si>
  <si>
    <t>VAST: Knoflooksaus</t>
  </si>
  <si>
    <t>VAST: Wit stokbrood ½ p.p.</t>
  </si>
  <si>
    <t>VAST: Kruidenboter 1 cup p.p.</t>
  </si>
  <si>
    <t>VAST: Wit Stokbrood ½ p.p.</t>
  </si>
  <si>
    <r>
      <rPr>
        <b/>
        <sz val="15"/>
        <color rgb="FFFF0000"/>
        <rFont val="Calibri"/>
        <family val="2"/>
        <scheme val="minor"/>
      </rPr>
      <t>STAP 1:</t>
    </r>
    <r>
      <rPr>
        <b/>
        <sz val="15"/>
        <color rgb="FF002060"/>
        <rFont val="Calibri"/>
        <family val="2"/>
        <scheme val="minor"/>
      </rPr>
      <t xml:space="preserve"> Vul eerst </t>
    </r>
    <r>
      <rPr>
        <b/>
        <i/>
        <u/>
        <sz val="15"/>
        <color rgb="FF002060"/>
        <rFont val="Calibri"/>
        <family val="2"/>
        <scheme val="minor"/>
      </rPr>
      <t>alle</t>
    </r>
    <r>
      <rPr>
        <b/>
        <sz val="15"/>
        <color rgb="FF002060"/>
        <rFont val="Calibri"/>
        <family val="2"/>
        <scheme val="minor"/>
      </rPr>
      <t xml:space="preserve"> ALGEMENE BESTELGEGEVENS in</t>
    </r>
  </si>
  <si>
    <r>
      <rPr>
        <b/>
        <sz val="15"/>
        <color rgb="FFFF0000"/>
        <rFont val="Calibri"/>
        <family val="2"/>
        <scheme val="minor"/>
      </rPr>
      <t>STAP 2:</t>
    </r>
    <r>
      <rPr>
        <b/>
        <sz val="15"/>
        <color rgb="FF002060"/>
        <rFont val="Calibri"/>
        <family val="2"/>
        <scheme val="minor"/>
      </rPr>
      <t xml:space="preserve"> Kies de SOORT BESTELLING en vul uw bestelling in</t>
    </r>
  </si>
  <si>
    <r>
      <rPr>
        <b/>
        <sz val="14"/>
        <color rgb="FFFF0000"/>
        <rFont val="Arial Black"/>
        <family val="2"/>
      </rPr>
      <t>AANVULLINGEN</t>
    </r>
    <r>
      <rPr>
        <b/>
        <sz val="14"/>
        <color theme="0"/>
        <rFont val="Arial"/>
        <family val="2"/>
      </rPr>
      <t xml:space="preserve"> BIJ BASISSCHOTELS KEUZE BUFFET</t>
    </r>
  </si>
  <si>
    <t>Zet KRUISJE en de aanvullingen  worden automatisch berekend o.b.v. het ingegeven aantal personen</t>
  </si>
  <si>
    <t>vanaf 6 pers.</t>
  </si>
  <si>
    <t>vanaf 20 pers.</t>
  </si>
  <si>
    <t>Betaling in Winkel meteen bij bestellen</t>
  </si>
  <si>
    <t>KM</t>
  </si>
  <si>
    <t>Pastasal. Kip Pikant</t>
  </si>
  <si>
    <t>Pastasal. Kip pikant</t>
  </si>
  <si>
    <t>Gezond (vega)</t>
  </si>
  <si>
    <t>LAATSTE (PRIJS)WIJZIGINGEN PER:</t>
  </si>
  <si>
    <t>Kipspies TOSCANA XL</t>
  </si>
  <si>
    <t>Shaslick Varkenshaas</t>
  </si>
  <si>
    <t>Shaslick Kip</t>
  </si>
  <si>
    <t>Kipspies GREEK Passion XL</t>
  </si>
  <si>
    <t>Piri Piri steak XL</t>
  </si>
  <si>
    <t>Ribsteak TEX MEX</t>
  </si>
  <si>
    <t>TAPA: Sushi met alleen GARNALEN (6 st.)</t>
  </si>
  <si>
    <r>
      <rPr>
        <b/>
        <sz val="16"/>
        <color theme="0"/>
        <rFont val="Arial Black"/>
        <family val="2"/>
      </rPr>
      <t>VLEES</t>
    </r>
    <r>
      <rPr>
        <b/>
        <sz val="18"/>
        <color theme="0"/>
        <rFont val="Arial Black"/>
        <family val="2"/>
      </rPr>
      <t xml:space="preserve"> BASIS</t>
    </r>
  </si>
  <si>
    <r>
      <rPr>
        <b/>
        <sz val="16"/>
        <color theme="0"/>
        <rFont val="Arial Black"/>
        <family val="2"/>
      </rPr>
      <t>VLEES</t>
    </r>
    <r>
      <rPr>
        <b/>
        <sz val="18"/>
        <color theme="0"/>
        <rFont val="Arial Black"/>
        <family val="2"/>
      </rPr>
      <t xml:space="preserve"> LUXE</t>
    </r>
  </si>
  <si>
    <r>
      <rPr>
        <b/>
        <sz val="15"/>
        <color theme="0"/>
        <rFont val="Arial Black"/>
        <family val="2"/>
      </rPr>
      <t>VLEES</t>
    </r>
    <r>
      <rPr>
        <b/>
        <sz val="18"/>
        <color theme="0"/>
        <rFont val="Arial Black"/>
        <family val="2"/>
      </rPr>
      <t xml:space="preserve"> EXCLUSIEF</t>
    </r>
  </si>
  <si>
    <r>
      <t xml:space="preserve">All-In </t>
    </r>
    <r>
      <rPr>
        <b/>
        <sz val="18"/>
        <color theme="0"/>
        <rFont val="Arial Black"/>
        <family val="2"/>
      </rPr>
      <t>BASIS</t>
    </r>
  </si>
  <si>
    <r>
      <t xml:space="preserve">All-In </t>
    </r>
    <r>
      <rPr>
        <b/>
        <sz val="18"/>
        <color theme="0"/>
        <rFont val="Arial Black"/>
        <family val="2"/>
      </rPr>
      <t>LUXE</t>
    </r>
  </si>
  <si>
    <r>
      <t xml:space="preserve">All-In </t>
    </r>
    <r>
      <rPr>
        <b/>
        <sz val="18"/>
        <color theme="0"/>
        <rFont val="Arial"/>
        <family val="2"/>
      </rPr>
      <t>EXCLUSIEF</t>
    </r>
  </si>
  <si>
    <t>p.p.</t>
  </si>
  <si>
    <t>6-delig Vlees/vis-pakket</t>
  </si>
  <si>
    <r>
      <t xml:space="preserve">Wilt u een Gourmet vleesschotel of All-In buffet - </t>
    </r>
    <r>
      <rPr>
        <b/>
        <sz val="14"/>
        <color rgb="FFFFFF00"/>
        <rFont val="Arial"/>
        <family val="2"/>
      </rPr>
      <t>afwijkend van onze standaarden</t>
    </r>
    <r>
      <rPr>
        <b/>
        <sz val="14"/>
        <color theme="0"/>
        <rFont val="Arial"/>
        <family val="2"/>
      </rPr>
      <t xml:space="preserve"> - geheel zelf samenstellen,</t>
    </r>
  </si>
  <si>
    <r>
      <t xml:space="preserve">kom dan naar onze winkel of BEL ONS. Wij stellen dan samen met u een pakket samen o.b.v. onze </t>
    </r>
    <r>
      <rPr>
        <b/>
        <sz val="14"/>
        <color rgb="FFFFFF00"/>
        <rFont val="Arial"/>
        <family val="2"/>
      </rPr>
      <t>winkelprijzen</t>
    </r>
    <r>
      <rPr>
        <b/>
        <sz val="14"/>
        <color theme="0"/>
        <rFont val="Arial"/>
        <family val="2"/>
      </rPr>
      <t>.</t>
    </r>
  </si>
  <si>
    <t>Betaling per BANK 5 dagen vóór levering</t>
  </si>
  <si>
    <t>S M O O T H I E S</t>
  </si>
  <si>
    <t>Klik &amp; kies Smoothies &amp; Dranken</t>
  </si>
  <si>
    <r>
      <t xml:space="preserve">Aantal </t>
    </r>
    <r>
      <rPr>
        <u/>
        <sz val="11"/>
        <color theme="0"/>
        <rFont val="Calibri"/>
        <family val="2"/>
        <scheme val="minor"/>
      </rPr>
      <t>DEZELFDE</t>
    </r>
    <r>
      <rPr>
        <sz val="11"/>
        <color theme="0"/>
        <rFont val="Calibri"/>
        <family val="2"/>
        <scheme val="minor"/>
      </rPr>
      <t xml:space="preserve"> schotels</t>
    </r>
  </si>
  <si>
    <t>VARIATIE 1</t>
  </si>
  <si>
    <t>VARIATIE 2</t>
  </si>
  <si>
    <t>VARIATIE 3</t>
  </si>
  <si>
    <t>VARIATIE 4</t>
  </si>
  <si>
    <t>VARIATIE 5</t>
  </si>
  <si>
    <r>
      <t xml:space="preserve">Aantal </t>
    </r>
    <r>
      <rPr>
        <b/>
        <i/>
        <u/>
        <sz val="12"/>
        <color rgb="FF00B0F0"/>
        <rFont val="Arial Narrow"/>
        <family val="2"/>
      </rPr>
      <t>DEZELFDE</t>
    </r>
    <r>
      <rPr>
        <b/>
        <sz val="12"/>
        <rFont val="Arial Narrow"/>
        <family val="2"/>
      </rPr>
      <t xml:space="preserve"> schotels</t>
    </r>
  </si>
  <si>
    <t>Vul in</t>
  </si>
  <si>
    <t xml:space="preserve">en volg verder de vragen die komen </t>
  </si>
  <si>
    <t>KIES Afhaaltijd</t>
  </si>
  <si>
    <t>Middag</t>
  </si>
  <si>
    <t>Ochtend</t>
  </si>
  <si>
    <t>Basisschotel ALLEEN DUITSE AARDAPPELSALADE</t>
  </si>
  <si>
    <t>Basisschotel ALLEEN HOLLANDSE KOUDE SCHOTEL</t>
  </si>
  <si>
    <t>GROEP  B A S I S   B E L E G</t>
  </si>
  <si>
    <t>GROEP  L U X E   B E L E G (NIET VEGA)</t>
  </si>
  <si>
    <t>GROEP  L U X E   B E L E G (VEGA)</t>
  </si>
  <si>
    <t>GROEP  E X C L U S I E F   B E L E G</t>
  </si>
  <si>
    <t>Aardappelsalade</t>
  </si>
  <si>
    <t>Volta salade met tonijn</t>
  </si>
  <si>
    <r>
      <rPr>
        <b/>
        <sz val="10"/>
        <color rgb="FFFF0000"/>
        <rFont val="Arial"/>
        <family val="2"/>
      </rPr>
      <t xml:space="preserve">VEGA </t>
    </r>
    <r>
      <rPr>
        <b/>
        <sz val="10"/>
        <rFont val="Arial"/>
        <family val="2"/>
      </rPr>
      <t>BASISSCHOTEL met alléén Aardappelsalade, gegarneerd</t>
    </r>
  </si>
  <si>
    <t>Aardappelsalade 50 gr. p.p.</t>
  </si>
  <si>
    <t>Volta salade met tonijn 50 gr. p.p.</t>
  </si>
  <si>
    <r>
      <t xml:space="preserve">GESNEDEN Beenham met </t>
    </r>
    <r>
      <rPr>
        <b/>
        <sz val="10"/>
        <color theme="9" tint="-0.249977111117893"/>
        <rFont val="Arial"/>
        <family val="2"/>
      </rPr>
      <t>Champ. Roomsaus</t>
    </r>
    <r>
      <rPr>
        <b/>
        <sz val="10"/>
        <color rgb="FF000000"/>
        <rFont val="Arial"/>
        <family val="2"/>
      </rPr>
      <t xml:space="preserve"> (levering koud). 2 lappen Beenham+60 gr. saus p.p.</t>
    </r>
  </si>
  <si>
    <r>
      <t xml:space="preserve">GESNEDEN Beenham met </t>
    </r>
    <r>
      <rPr>
        <b/>
        <sz val="10"/>
        <color rgb="FFFF0000"/>
        <rFont val="Arial"/>
        <family val="2"/>
      </rPr>
      <t>Stroganoff saus</t>
    </r>
    <r>
      <rPr>
        <b/>
        <sz val="10"/>
        <color rgb="FF000000"/>
        <rFont val="Arial"/>
        <family val="2"/>
      </rPr>
      <t xml:space="preserve"> (levering koud). 2 lappen Beenham+60 gr. saus p.p.</t>
    </r>
  </si>
  <si>
    <r>
      <t xml:space="preserve">GESNEDEN Beenham met </t>
    </r>
    <r>
      <rPr>
        <b/>
        <sz val="10"/>
        <color rgb="FF00B050"/>
        <rFont val="Arial"/>
        <family val="2"/>
      </rPr>
      <t>Pepersaus</t>
    </r>
    <r>
      <rPr>
        <b/>
        <sz val="10"/>
        <color rgb="FF000000"/>
        <rFont val="Arial"/>
        <family val="2"/>
      </rPr>
      <t xml:space="preserve"> (levering koud). 2 lappen Beenham+60 gr. saus p.p.</t>
    </r>
  </si>
  <si>
    <r>
      <t xml:space="preserve">Varkenshaaspoulet in </t>
    </r>
    <r>
      <rPr>
        <b/>
        <sz val="10"/>
        <color theme="9" tint="-0.249977111117893"/>
        <rFont val="Arial"/>
        <family val="2"/>
      </rPr>
      <t>Champ. Roomsaus</t>
    </r>
    <r>
      <rPr>
        <b/>
        <sz val="10"/>
        <color rgb="FF000000"/>
        <rFont val="Arial"/>
        <family val="2"/>
      </rPr>
      <t xml:space="preserve"> (levering koud) 300 gr. p.p.</t>
    </r>
  </si>
  <si>
    <r>
      <t xml:space="preserve">Varkenshaaspoulet in </t>
    </r>
    <r>
      <rPr>
        <b/>
        <sz val="10"/>
        <color rgb="FFFF0000"/>
        <rFont val="Arial"/>
        <family val="2"/>
      </rPr>
      <t>Stroganoff saus</t>
    </r>
    <r>
      <rPr>
        <b/>
        <sz val="10"/>
        <color rgb="FF000000"/>
        <rFont val="Arial"/>
        <family val="2"/>
      </rPr>
      <t xml:space="preserve"> (levering koud) 300 gr. p.p.</t>
    </r>
  </si>
  <si>
    <r>
      <t xml:space="preserve">Varkenshaaspoulet in </t>
    </r>
    <r>
      <rPr>
        <b/>
        <sz val="10"/>
        <color rgb="FF00B050"/>
        <rFont val="Arial"/>
        <family val="2"/>
      </rPr>
      <t>Pepersaus</t>
    </r>
    <r>
      <rPr>
        <b/>
        <sz val="10"/>
        <color rgb="FF000000"/>
        <rFont val="Arial"/>
        <family val="2"/>
      </rPr>
      <t xml:space="preserve"> (levering koud) 300 gr. p.p.</t>
    </r>
  </si>
  <si>
    <t>30e verjaardag</t>
  </si>
  <si>
    <t>40e verjaardag</t>
  </si>
  <si>
    <t>50e verjaardag SARAH</t>
  </si>
  <si>
    <t>50e verjaardag ABRAHAM</t>
  </si>
  <si>
    <t>60e verjaardag</t>
  </si>
  <si>
    <t>65e verjaardag</t>
  </si>
  <si>
    <t>70e verjaardag</t>
  </si>
  <si>
    <t>80e verjaardag</t>
  </si>
  <si>
    <t>90e verjaardag</t>
  </si>
  <si>
    <t>Zilveren bruiloft 25 jaar</t>
  </si>
  <si>
    <t>25 jarig jubilileum</t>
  </si>
  <si>
    <t>Gouden bruiloft 50 jaar</t>
  </si>
  <si>
    <t>50 jarig julileum</t>
  </si>
  <si>
    <t>Geslaagd</t>
  </si>
  <si>
    <t>Anders: schrijf dit in e-mail</t>
  </si>
  <si>
    <t>8 dagen ACHTERAF per BANK op FACTUUR - (met BTW nummer)</t>
  </si>
  <si>
    <t>GEEN</t>
  </si>
  <si>
    <t>5 dagen VOORAF per BANK op FACTUUR - (zonder BTW nummer)</t>
  </si>
  <si>
    <t>75e verjaardag</t>
  </si>
  <si>
    <t>21e verjaardag</t>
  </si>
  <si>
    <t>Kerstviering</t>
  </si>
  <si>
    <t>Nieuwjaarsborrel</t>
  </si>
  <si>
    <t>18e verjaardag</t>
  </si>
  <si>
    <t>NL elftal wedstrijd</t>
  </si>
  <si>
    <r>
      <t xml:space="preserve">Vanwege de overzichtelijkheid hebben wij ons </t>
    </r>
    <r>
      <rPr>
        <b/>
        <i/>
        <u/>
        <sz val="13"/>
        <color rgb="FF002060"/>
        <rFont val="Calibri"/>
        <family val="2"/>
        <scheme val="minor"/>
      </rPr>
      <t>standaard</t>
    </r>
    <r>
      <rPr>
        <b/>
        <sz val="13"/>
        <color rgb="FF002060"/>
        <rFont val="Calibri"/>
        <family val="2"/>
        <scheme val="minor"/>
      </rPr>
      <t xml:space="preserve"> cateringassortiment onderverdeeld in </t>
    </r>
    <r>
      <rPr>
        <b/>
        <i/>
        <sz val="13"/>
        <color rgb="FF002060"/>
        <rFont val="Calibri"/>
        <family val="2"/>
        <scheme val="minor"/>
      </rPr>
      <t>groepen</t>
    </r>
    <r>
      <rPr>
        <b/>
        <sz val="13"/>
        <color rgb="FF002060"/>
        <rFont val="Calibri"/>
        <family val="2"/>
        <scheme val="minor"/>
      </rPr>
      <t>.</t>
    </r>
  </si>
  <si>
    <r>
      <t xml:space="preserve">Wilt u iets bestellen dat NIET binnen ons standaard assortiment valt of kunt u in de groepen niet vinden wat u wilt bestellen? </t>
    </r>
    <r>
      <rPr>
        <b/>
        <sz val="13"/>
        <color rgb="FFFF0000"/>
        <rFont val="Calibri"/>
        <family val="2"/>
        <scheme val="minor"/>
      </rPr>
      <t>Noteer uw bestelling dan bij OVERIG ----&gt;</t>
    </r>
  </si>
  <si>
    <t>Indische balletjes ketjap</t>
  </si>
  <si>
    <t>Chili puur</t>
  </si>
  <si>
    <t>Chili/Mayo</t>
  </si>
  <si>
    <t>Brander mayo</t>
  </si>
  <si>
    <t>Remoulade</t>
  </si>
  <si>
    <t>Curry</t>
  </si>
  <si>
    <t>Kerrie</t>
  </si>
  <si>
    <t>Frikandellensaus</t>
  </si>
  <si>
    <t>Mosterd</t>
  </si>
  <si>
    <t>Truffel mayo</t>
  </si>
  <si>
    <t>Ketchup</t>
  </si>
  <si>
    <t>Maak keuze sausje 1 ---&gt;</t>
  </si>
  <si>
    <t>Maak keuze sausje 2 ---&gt;</t>
  </si>
  <si>
    <t>Maak keuze sausje 3 ---&gt;</t>
  </si>
  <si>
    <t>VOLTA Burger XL los</t>
  </si>
  <si>
    <t>Hamburgerbroodje Sesam XL</t>
  </si>
  <si>
    <t>GROEP HAMBURGERBUFFET</t>
  </si>
  <si>
    <t>Mayonaise 30 gr. p.p.</t>
  </si>
  <si>
    <t>Cocktail 30 gr. p.p.</t>
  </si>
  <si>
    <t>Knoflook 30 gr. p.p.</t>
  </si>
  <si>
    <t>Tzatziki 30 gr. p.p.</t>
  </si>
  <si>
    <t>Andalouse 30 gr. p.p.</t>
  </si>
  <si>
    <t>Chili puur 30 gr. p.p.</t>
  </si>
  <si>
    <t>Chili mayo 30 gr. p.p.</t>
  </si>
  <si>
    <t>Samoerai 30 gr. p.p.</t>
  </si>
  <si>
    <t>BBQ 30 gr. p.p.</t>
  </si>
  <si>
    <t>Saté 30 gr. p.p.</t>
  </si>
  <si>
    <t>Joppie 30 gr. p.p.</t>
  </si>
  <si>
    <t>Brander mayo 30 gr. p.p.</t>
  </si>
  <si>
    <t>Remoulade 30 gr. p.p.</t>
  </si>
  <si>
    <t>Curry 30 gr. p.p.</t>
  </si>
  <si>
    <t>Kerrie 30 gr. p.p.</t>
  </si>
  <si>
    <t>Frikandellensaus 30 gr. p.p.</t>
  </si>
  <si>
    <t>Mosterd 30 gr. p.p.</t>
  </si>
  <si>
    <t>Wimpie 30 gr. p.p.</t>
  </si>
  <si>
    <t>Truffel mayo 30 gr. p.p.</t>
  </si>
  <si>
    <t>Ketchup 30 gr. p.p.</t>
  </si>
  <si>
    <t>Augurkschijfje 15 gr.</t>
  </si>
  <si>
    <t>Gemengde sla 15 gr./ p.p.</t>
  </si>
  <si>
    <t>Cheddar kaas 1 lapje p.p.</t>
  </si>
  <si>
    <t>Rode Uienringen 10 gr. p.p.</t>
  </si>
  <si>
    <t>Gefruite uitjes 10 gr. p.p.</t>
  </si>
  <si>
    <t>Uitgebakken spek 10 gr. p.p.</t>
  </si>
  <si>
    <t>Wortel droog 20 gr. p.p.</t>
  </si>
  <si>
    <t>BEEF burger XL 200 gr.</t>
  </si>
  <si>
    <t>Vega Groenteburger 85 gr.</t>
  </si>
  <si>
    <t>WRAPS</t>
  </si>
  <si>
    <t>ZOET</t>
  </si>
  <si>
    <t>KOUDE DRANKEN</t>
  </si>
  <si>
    <t>SMOOTHIES</t>
  </si>
  <si>
    <t>LUNCHPAKKETTEN</t>
  </si>
  <si>
    <t>HAMBURGERBUFFET</t>
  </si>
  <si>
    <t>19.</t>
  </si>
  <si>
    <t>aantal stuks/pers.</t>
  </si>
  <si>
    <t xml:space="preserve">Komkommerschijfjes </t>
  </si>
  <si>
    <t xml:space="preserve">Tomatenschijfjes </t>
  </si>
  <si>
    <t xml:space="preserve">Augurkschijfjes </t>
  </si>
  <si>
    <t xml:space="preserve">Griekse kool </t>
  </si>
  <si>
    <t xml:space="preserve">Uitgebakken spek </t>
  </si>
  <si>
    <t xml:space="preserve">Gemengde sla </t>
  </si>
  <si>
    <t xml:space="preserve">Cheddar kaas </t>
  </si>
  <si>
    <t xml:space="preserve">Rode Uienringen </t>
  </si>
  <si>
    <t xml:space="preserve">Gefruite uitjes </t>
  </si>
  <si>
    <t>Wortel</t>
  </si>
  <si>
    <t>Zet KRUISJE en het beleg  wordt automatisch berekend o.b.v. het ingegeven aantal personen</t>
  </si>
  <si>
    <t>Zet KRUISJE en de sauzen worden automatisch berekend o.b.v. het ingegeven aantal personen</t>
  </si>
  <si>
    <t>Komkommerschijfjes 20 gr.</t>
  </si>
  <si>
    <t>Tomaatschijfjes 15 gr.</t>
  </si>
  <si>
    <t>lapjes</t>
  </si>
  <si>
    <t xml:space="preserve">Mayonaise </t>
  </si>
  <si>
    <t xml:space="preserve">Chili puur </t>
  </si>
  <si>
    <t xml:space="preserve">Chili mayo </t>
  </si>
  <si>
    <t xml:space="preserve">Brander mayo </t>
  </si>
  <si>
    <t xml:space="preserve">Curry HELA </t>
  </si>
  <si>
    <t xml:space="preserve">Kerriesaus </t>
  </si>
  <si>
    <t xml:space="preserve">Truffel mayo </t>
  </si>
  <si>
    <t xml:space="preserve">Ketchup </t>
  </si>
  <si>
    <t xml:space="preserve">Cocktailsaus </t>
  </si>
  <si>
    <t xml:space="preserve">Knoflooksaus </t>
  </si>
  <si>
    <t xml:space="preserve">Tzatziki saus </t>
  </si>
  <si>
    <t xml:space="preserve">Andalouse saus  </t>
  </si>
  <si>
    <t xml:space="preserve">Samoerai saus  </t>
  </si>
  <si>
    <t xml:space="preserve">Satésaus  </t>
  </si>
  <si>
    <t xml:space="preserve">Joppie saus </t>
  </si>
  <si>
    <t xml:space="preserve">Remoulade saus </t>
  </si>
  <si>
    <t>Scrol even naar beneden en zie</t>
  </si>
  <si>
    <t>samengestrelde hamburgerbuffet</t>
  </si>
  <si>
    <t>Totaal Hamburgerbuffet</t>
  </si>
  <si>
    <t>Aantal personen/broodjes</t>
  </si>
  <si>
    <t>Prijs per persoon</t>
  </si>
  <si>
    <t>- All-In Koude Buffetten</t>
  </si>
  <si>
    <t>- Keuze Koude Buffetten</t>
  </si>
  <si>
    <t>- Stel zelf je Hamburgerbuffet samen</t>
  </si>
  <si>
    <t>- Lunchpakketten</t>
  </si>
  <si>
    <t>- Lunchschalen met belegde broodjes</t>
  </si>
  <si>
    <r>
      <t xml:space="preserve">met de </t>
    </r>
    <r>
      <rPr>
        <b/>
        <sz val="14"/>
        <rFont val="Calibri"/>
        <family val="2"/>
        <scheme val="minor"/>
      </rPr>
      <t>prijs per persoon</t>
    </r>
  </si>
  <si>
    <r>
      <t xml:space="preserve">het </t>
    </r>
    <r>
      <rPr>
        <b/>
        <sz val="14"/>
        <color theme="5" tint="-0.499984740745262"/>
        <rFont val="Calibri"/>
        <family val="2"/>
        <scheme val="minor"/>
      </rPr>
      <t>Totaalbedrag</t>
    </r>
    <r>
      <rPr>
        <b/>
        <sz val="14"/>
        <color rgb="FFFF0000"/>
        <rFont val="Calibri"/>
        <family val="2"/>
        <scheme val="minor"/>
      </rPr>
      <t xml:space="preserve"> van het door u</t>
    </r>
  </si>
  <si>
    <t xml:space="preserve">BBQ saus  </t>
  </si>
  <si>
    <t xml:space="preserve">Wimpie saus </t>
  </si>
  <si>
    <t>20.</t>
  </si>
  <si>
    <t>Pistolet wit</t>
  </si>
  <si>
    <t>Pistolet Bruin</t>
  </si>
  <si>
    <t>Fruit</t>
  </si>
  <si>
    <t>Drank</t>
  </si>
  <si>
    <t>Wrap</t>
  </si>
  <si>
    <t>Stok wit</t>
  </si>
  <si>
    <t>Broodje 1</t>
  </si>
  <si>
    <t>Broodje 2</t>
  </si>
  <si>
    <t>Kies broodje 1</t>
  </si>
  <si>
    <t>Kies broodje 2</t>
  </si>
  <si>
    <t>Kies Fruit</t>
  </si>
  <si>
    <t>Appel</t>
  </si>
  <si>
    <t>Mandarijn</t>
  </si>
  <si>
    <t>Kies Drank</t>
  </si>
  <si>
    <t>Water</t>
  </si>
  <si>
    <t>Fanta</t>
  </si>
  <si>
    <t>7-up</t>
  </si>
  <si>
    <t>Lipton Green</t>
  </si>
  <si>
    <t>Kies Wrap</t>
  </si>
  <si>
    <t>Vitello T.</t>
  </si>
  <si>
    <t>Kies BASIS beleg</t>
  </si>
  <si>
    <t>Kies EXCL. beleg</t>
  </si>
  <si>
    <t>Kies LUXE beleg</t>
  </si>
  <si>
    <t>Cobourger ham</t>
  </si>
  <si>
    <t>Spicy Tuna</t>
  </si>
  <si>
    <t>Soort pakket</t>
  </si>
  <si>
    <t>Beleg</t>
  </si>
  <si>
    <t>Jus d´Orange</t>
  </si>
  <si>
    <t>Smoothie TROPICAL</t>
  </si>
  <si>
    <t>Ham z.boter</t>
  </si>
  <si>
    <t>Kaas-boter</t>
  </si>
  <si>
    <t>Ham-boter</t>
  </si>
  <si>
    <t>Kaas z.boter</t>
  </si>
  <si>
    <t>Cervelaat z.boter</t>
  </si>
  <si>
    <t>Cervelaat-boter</t>
  </si>
  <si>
    <t>Griekse yoghurt</t>
  </si>
  <si>
    <r>
      <t xml:space="preserve">BASIS </t>
    </r>
    <r>
      <rPr>
        <b/>
        <sz val="10"/>
        <color rgb="FFFF0000"/>
        <rFont val="Arial"/>
        <family val="2"/>
      </rPr>
      <t>XL</t>
    </r>
  </si>
  <si>
    <r>
      <t xml:space="preserve">LUXE </t>
    </r>
    <r>
      <rPr>
        <b/>
        <sz val="10"/>
        <color rgb="FFFF0000"/>
        <rFont val="Arial"/>
        <family val="2"/>
      </rPr>
      <t>XL</t>
    </r>
  </si>
  <si>
    <r>
      <t xml:space="preserve">EXCL. </t>
    </r>
    <r>
      <rPr>
        <b/>
        <sz val="10"/>
        <color rgb="FFFF0000"/>
        <rFont val="Arial"/>
        <family val="2"/>
      </rPr>
      <t>XL</t>
    </r>
  </si>
  <si>
    <t>Humus</t>
  </si>
  <si>
    <t>Kies VEGA beleg</t>
  </si>
  <si>
    <t>Groep KOUDE BUFFETTEN &amp; AANVULLINGEN:</t>
  </si>
  <si>
    <t>Groep LUNCHPAKKETTEN:</t>
  </si>
  <si>
    <t>Groep HAMBURGER BUFFET:</t>
  </si>
  <si>
    <t>De voorgegaarde hamburgers en Buns zijn op te warmen thuis in de oven of in de pan OF in de zomermaanden op de BBQ</t>
  </si>
  <si>
    <r>
      <rPr>
        <b/>
        <sz val="20"/>
        <color rgb="FFFF0000"/>
        <rFont val="Arial"/>
        <family val="2"/>
      </rPr>
      <t xml:space="preserve">KEUZE </t>
    </r>
    <r>
      <rPr>
        <b/>
        <sz val="20"/>
        <color theme="0"/>
        <rFont val="Arial"/>
        <family val="2"/>
      </rPr>
      <t xml:space="preserve">HAMBURGERBUFFET </t>
    </r>
    <r>
      <rPr>
        <b/>
        <sz val="20"/>
        <color rgb="FFFF0000"/>
        <rFont val="Arial"/>
        <family val="2"/>
      </rPr>
      <t>ALL IN</t>
    </r>
  </si>
  <si>
    <t>Postcode + Woonplaats</t>
  </si>
  <si>
    <t>MAAK KEUZE Speciale gelegenheid</t>
  </si>
  <si>
    <t>soort</t>
  </si>
  <si>
    <t>ham</t>
  </si>
  <si>
    <t>burger</t>
  </si>
  <si>
    <t>Bun</t>
  </si>
  <si>
    <t>beleg</t>
  </si>
  <si>
    <t>voor op</t>
  </si>
  <si>
    <t>de ham</t>
  </si>
  <si>
    <t>huur</t>
  </si>
  <si>
    <t>sauzen</t>
  </si>
  <si>
    <t xml:space="preserve">Totaalbedrag beleg hamburgerbuffet </t>
  </si>
  <si>
    <t xml:space="preserve">Totaalbedrag sauzen hamburgerbuffet </t>
  </si>
  <si>
    <t>Kan bij cateringbestelling ingevuld worden:  Klik HIER</t>
  </si>
  <si>
    <t>- Hamburgerbuffet</t>
  </si>
  <si>
    <t>Kipburger XL 125 gr.</t>
  </si>
  <si>
    <t>Visburger 150 gr.</t>
  </si>
  <si>
    <t>RIJEN</t>
  </si>
  <si>
    <t>Stok WIT Basis</t>
  </si>
  <si>
    <t>Stok WIT Luxe</t>
  </si>
  <si>
    <t>Stok WIT Exclusief</t>
  </si>
  <si>
    <t>Stok TARWE Basis</t>
  </si>
  <si>
    <t>Stok TARWE Luxe</t>
  </si>
  <si>
    <t>Stok TARWE Exclusief</t>
  </si>
  <si>
    <t>Pistolets WIT Basis</t>
  </si>
  <si>
    <t>Pistolets WIT Luxe</t>
  </si>
  <si>
    <t>Pistolets WIT Exclusief</t>
  </si>
  <si>
    <t>Pistolets TARWE Basis</t>
  </si>
  <si>
    <t>Pistolets TARWE Luxe</t>
  </si>
  <si>
    <t>Pistolets TARWE Exclusief</t>
  </si>
  <si>
    <t>BASIS XL</t>
  </si>
  <si>
    <t>LUXE XL</t>
  </si>
  <si>
    <t>LUXE VEGA</t>
  </si>
  <si>
    <t>EXCLUSIEF XL</t>
  </si>
  <si>
    <t>stok bruin</t>
  </si>
  <si>
    <t>Lipton Sparkling</t>
  </si>
  <si>
    <t>Kip Kerrie sal.</t>
  </si>
  <si>
    <t>- rest min. 6 lunches</t>
  </si>
  <si>
    <t>- VEGA min. 2 lunches</t>
  </si>
  <si>
    <t>SMOOTIES</t>
  </si>
  <si>
    <t>&amp;</t>
  </si>
  <si>
    <t>KOUDE</t>
  </si>
  <si>
    <r>
      <t xml:space="preserve">LUXE </t>
    </r>
    <r>
      <rPr>
        <b/>
        <sz val="10"/>
        <color rgb="FFFF0000"/>
        <rFont val="Arial"/>
        <family val="2"/>
      </rPr>
      <t xml:space="preserve">XL </t>
    </r>
    <r>
      <rPr>
        <b/>
        <sz val="12"/>
        <color rgb="FF00B050"/>
        <rFont val="Arial"/>
        <family val="2"/>
      </rPr>
      <t>VEGA</t>
    </r>
  </si>
  <si>
    <t>Hamburgerbroodje 3</t>
  </si>
  <si>
    <t>Hamburgerbroodje 2</t>
  </si>
  <si>
    <t>Hamburger saus</t>
  </si>
  <si>
    <t>BEEF Burger XL (voorgegaard, levering koud)</t>
  </si>
  <si>
    <t>VOLTA Burger XL (voorgegaard, levering koud)</t>
  </si>
  <si>
    <t>KIP burger (voorgegaard, levering koud)</t>
  </si>
  <si>
    <t>VIS burger XL (ingekocht, levering koud)</t>
  </si>
  <si>
    <t>Vega Groenteburger (ingekocht, levering koud)</t>
  </si>
  <si>
    <t>Giant hamburgerbun PRETZEL</t>
  </si>
  <si>
    <t>Giant hamburgerbun SESAM</t>
  </si>
  <si>
    <t>Giant hamburgerbun TIJGER</t>
  </si>
  <si>
    <r>
      <rPr>
        <b/>
        <i/>
        <sz val="12"/>
        <color rgb="FFFF0000"/>
        <rFont val="Arial"/>
        <family val="2"/>
      </rPr>
      <t>Vanaf 6 stuks per soort</t>
    </r>
    <r>
      <rPr>
        <b/>
        <i/>
        <sz val="14"/>
        <rFont val="Arial"/>
        <family val="2"/>
      </rPr>
      <t xml:space="preserve"> ** KIES JE AANTAL BURGERS ** - </t>
    </r>
    <r>
      <rPr>
        <b/>
        <i/>
        <sz val="12"/>
        <color rgb="FFFF0000"/>
        <rFont val="Arial"/>
        <family val="2"/>
      </rPr>
      <t>Vega burgers vanaf 2 per soort</t>
    </r>
  </si>
  <si>
    <r>
      <t xml:space="preserve">                     KIES JE AANTAL BUNS - </t>
    </r>
    <r>
      <rPr>
        <b/>
        <i/>
        <sz val="12"/>
        <color rgb="FFFF0000"/>
        <rFont val="Arial"/>
        <family val="2"/>
      </rPr>
      <t>vanaf 6 stuks per soort</t>
    </r>
  </si>
  <si>
    <r>
      <rPr>
        <b/>
        <i/>
        <sz val="12"/>
        <color rgb="FFFF0000"/>
        <rFont val="Arial"/>
        <family val="2"/>
      </rPr>
      <t xml:space="preserve">                                                     Kies Toppings voor je hamburgerbuffet</t>
    </r>
    <r>
      <rPr>
        <b/>
        <i/>
        <sz val="14"/>
        <rFont val="Arial"/>
        <family val="2"/>
      </rPr>
      <t xml:space="preserve"> ** ZET KRUISJE **  </t>
    </r>
    <r>
      <rPr>
        <b/>
        <i/>
        <sz val="12"/>
        <color rgb="FFFF0000"/>
        <rFont val="Arial"/>
        <family val="2"/>
      </rPr>
      <t>wij berekenen automatisch de benodigde hoeveelheden</t>
    </r>
  </si>
  <si>
    <r>
      <rPr>
        <b/>
        <i/>
        <sz val="12"/>
        <color rgb="FFFF0000"/>
        <rFont val="Arial"/>
        <family val="2"/>
      </rPr>
      <t xml:space="preserve">                    Kies sauzen voor je hamburgerbuffet</t>
    </r>
    <r>
      <rPr>
        <b/>
        <i/>
        <sz val="14"/>
        <color rgb="FFFF0000"/>
        <rFont val="Arial"/>
        <family val="2"/>
      </rPr>
      <t xml:space="preserve"> </t>
    </r>
    <r>
      <rPr>
        <b/>
        <i/>
        <sz val="14"/>
        <rFont val="Arial"/>
        <family val="2"/>
      </rPr>
      <t xml:space="preserve">** ZET KRUISJE ** - </t>
    </r>
    <r>
      <rPr>
        <b/>
        <i/>
        <sz val="12"/>
        <color rgb="FFFF0000"/>
        <rFont val="Arial"/>
        <family val="2"/>
      </rPr>
      <t>wij berekenen automatisch de benodigde hoeveelheden</t>
    </r>
  </si>
  <si>
    <t>Heb je geen eigen BBQ en/of wil je een van ons huren met bakplaat, maak hieronder je keuze,,,,,,,,</t>
  </si>
  <si>
    <r>
      <rPr>
        <b/>
        <i/>
        <sz val="14"/>
        <color rgb="FFFF0000"/>
        <rFont val="Arial"/>
        <family val="2"/>
      </rPr>
      <t xml:space="preserve">                                  vanaf 6 pers. per pakket. </t>
    </r>
    <r>
      <rPr>
        <b/>
        <i/>
        <sz val="14"/>
        <color theme="0"/>
        <rFont val="Arial"/>
        <family val="2"/>
      </rPr>
      <t>LUNCHPAKKETTEN</t>
    </r>
    <r>
      <rPr>
        <b/>
        <i/>
        <sz val="14"/>
        <color rgb="FFFF0000"/>
        <rFont val="Arial"/>
        <family val="2"/>
      </rPr>
      <t xml:space="preserve"> Veggie va. 2 pers. </t>
    </r>
    <r>
      <rPr>
        <b/>
        <sz val="10"/>
        <color theme="0"/>
        <rFont val="Arial"/>
        <family val="2"/>
      </rPr>
      <t>Van de standaarden kan NIET afgeweken worden!</t>
    </r>
  </si>
  <si>
    <t>Gesloten 24 t/m 31 aug. wegens Inkom Universiteit</t>
  </si>
  <si>
    <t>Gesloten 31/8 t/m 14/9 wegens vakantie</t>
  </si>
  <si>
    <t>22 + 23 dec. geen catering i.v.m. Kerstmis</t>
  </si>
  <si>
    <t>24, 25 en 26 dec. Afhalen kerstcatering</t>
  </si>
  <si>
    <t>27-12 t/m 4/1 gesloten Eindejaarsverlof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</si>
</sst>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€&quot;\ #,##0.00;&quot;€&quot;\ \-#,##0.00"/>
    <numFmt numFmtId="164" formatCode="&quot;€&quot;\ #,##0.00"/>
    <numFmt numFmtId="165" formatCode="[$-F800]dddd\,\ mmmm\ dd\,\ yyyy"/>
    <numFmt numFmtId="166" formatCode="[$-413]mmmm/yy;@"/>
    <numFmt numFmtId="172" formatCode="d/mm/yy;@"/>
    <numFmt numFmtId="173" formatCode="&quot;€&quot;\ #,##0.00000"/>
  </numFmts>
  <fonts count="30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3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45"/>
      <color rgb="FF00153E"/>
      <name val="Aharoni"/>
      <charset val="177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45"/>
      <color theme="1"/>
      <name val="Calibri"/>
      <family val="2"/>
      <scheme val="minor"/>
    </font>
    <font>
      <sz val="50"/>
      <color rgb="FF00153E"/>
      <name val="Aharoni"/>
      <charset val="177"/>
    </font>
    <font>
      <b/>
      <sz val="14"/>
      <color rgb="FF002060"/>
      <name val="Calibri"/>
      <family val="2"/>
      <scheme val="minor"/>
    </font>
    <font>
      <b/>
      <sz val="15"/>
      <color theme="9" tint="-0.499984740745262"/>
      <name val="Calibri"/>
      <family val="2"/>
      <scheme val="minor"/>
    </font>
    <font>
      <b/>
      <sz val="18"/>
      <color theme="9" tint="-0.499984740745262"/>
      <name val="Calibri"/>
      <family val="2"/>
      <scheme val="minor"/>
    </font>
    <font>
      <sz val="18"/>
      <color theme="0"/>
      <name val="Arial Black"/>
      <family val="2"/>
    </font>
    <font>
      <b/>
      <i/>
      <sz val="25"/>
      <color rgb="FFFF0000"/>
      <name val="Calibri"/>
      <family val="2"/>
      <scheme val="minor"/>
    </font>
    <font>
      <b/>
      <sz val="25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40"/>
      <color rgb="FF00153E"/>
      <name val="Aharoni"/>
      <charset val="177"/>
    </font>
    <font>
      <b/>
      <i/>
      <sz val="22"/>
      <color rgb="FFFF0000"/>
      <name val="Calibri"/>
      <family val="2"/>
      <scheme val="minor"/>
    </font>
    <font>
      <b/>
      <i/>
      <sz val="15"/>
      <color rgb="FFFF0000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b/>
      <i/>
      <sz val="13"/>
      <color rgb="FF002060"/>
      <name val="Calibri"/>
      <family val="2"/>
      <scheme val="minor"/>
    </font>
    <font>
      <b/>
      <u/>
      <sz val="16"/>
      <color rgb="FF002060"/>
      <name val="Calibri"/>
      <family val="2"/>
      <scheme val="minor"/>
    </font>
    <font>
      <sz val="13"/>
      <color rgb="FF002060"/>
      <name val="Calibri"/>
      <family val="2"/>
      <scheme val="minor"/>
    </font>
    <font>
      <b/>
      <u/>
      <sz val="14"/>
      <color theme="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2"/>
      <color rgb="FF002060"/>
      <name val="Arial"/>
      <family val="2"/>
    </font>
    <font>
      <sz val="11"/>
      <color theme="1"/>
      <name val="Arial"/>
      <family val="2"/>
    </font>
    <font>
      <i/>
      <sz val="14"/>
      <color rgb="FF000000"/>
      <name val="Arial"/>
      <family val="2"/>
    </font>
    <font>
      <b/>
      <sz val="12"/>
      <color theme="5" tint="-0.249977111117893"/>
      <name val="Arial"/>
      <family val="2"/>
    </font>
    <font>
      <b/>
      <i/>
      <sz val="13"/>
      <color rgb="FFFF0000"/>
      <name val="Arial"/>
      <family val="2"/>
    </font>
    <font>
      <b/>
      <sz val="12"/>
      <color rgb="FF00B050"/>
      <name val="Arial"/>
      <family val="2"/>
    </font>
    <font>
      <b/>
      <i/>
      <sz val="13"/>
      <color theme="0"/>
      <name val="Arial"/>
      <family val="2"/>
    </font>
    <font>
      <b/>
      <sz val="12"/>
      <color rgb="FFFF0000"/>
      <name val="Arial"/>
      <family val="2"/>
    </font>
    <font>
      <b/>
      <i/>
      <sz val="14"/>
      <color rgb="FF000000"/>
      <name val="Arial"/>
      <family val="2"/>
    </font>
    <font>
      <sz val="13"/>
      <color rgb="FF000000"/>
      <name val="Arial"/>
      <family val="2"/>
    </font>
    <font>
      <sz val="13"/>
      <color theme="1"/>
      <name val="Calibri"/>
      <family val="2"/>
      <scheme val="minor"/>
    </font>
    <font>
      <i/>
      <sz val="14"/>
      <color rgb="FF002060"/>
      <name val="Calibri"/>
      <family val="2"/>
      <scheme val="minor"/>
    </font>
    <font>
      <sz val="11"/>
      <color rgb="FFFF0000"/>
      <name val="Arial Narrow"/>
      <family val="2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30"/>
      <color rgb="FFFF0000"/>
      <name val="Arial Black"/>
      <family val="2"/>
    </font>
    <font>
      <sz val="20"/>
      <color rgb="FFFF0000"/>
      <name val="Arial Black"/>
      <family val="2"/>
    </font>
    <font>
      <i/>
      <sz val="14"/>
      <name val="Arial"/>
      <family val="2"/>
    </font>
    <font>
      <b/>
      <sz val="14"/>
      <name val="Arial"/>
      <family val="2"/>
    </font>
    <font>
      <sz val="9"/>
      <name val="Calibri"/>
      <family val="2"/>
      <scheme val="minor"/>
    </font>
    <font>
      <b/>
      <u/>
      <sz val="14"/>
      <color theme="10"/>
      <name val="Arial"/>
      <family val="2"/>
    </font>
    <font>
      <i/>
      <sz val="14"/>
      <color theme="10"/>
      <name val="Arial"/>
      <family val="2"/>
    </font>
    <font>
      <sz val="14"/>
      <color rgb="FFFF0000"/>
      <name val="Arial"/>
      <family val="2"/>
    </font>
    <font>
      <u/>
      <sz val="20"/>
      <color rgb="FFFF0000"/>
      <name val="Arial Black"/>
      <family val="2"/>
    </font>
    <font>
      <b/>
      <i/>
      <sz val="12"/>
      <color rgb="FF002060"/>
      <name val="Arial"/>
      <family val="2"/>
    </font>
    <font>
      <b/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FF0000"/>
      <name val="Arial Narrow"/>
      <family val="2"/>
    </font>
    <font>
      <sz val="9"/>
      <color theme="0"/>
      <name val="Arial"/>
      <family val="2"/>
    </font>
    <font>
      <b/>
      <sz val="14"/>
      <color theme="0"/>
      <name val="Arial"/>
      <family val="2"/>
    </font>
    <font>
      <b/>
      <i/>
      <sz val="14"/>
      <color rgb="FFFF0000"/>
      <name val="Calibri"/>
      <family val="2"/>
      <scheme val="minor"/>
    </font>
    <font>
      <sz val="14"/>
      <name val="Arial"/>
      <family val="2"/>
    </font>
    <font>
      <b/>
      <sz val="40"/>
      <color rgb="FF00153E"/>
      <name val="Aharoni"/>
      <charset val="177"/>
    </font>
    <font>
      <b/>
      <sz val="35"/>
      <color rgb="FF002060"/>
      <name val="Aharoni"/>
      <charset val="177"/>
    </font>
    <font>
      <b/>
      <sz val="11.5"/>
      <color theme="0"/>
      <name val="Calibri"/>
      <family val="2"/>
      <scheme val="minor"/>
    </font>
    <font>
      <b/>
      <sz val="14"/>
      <color rgb="FFFF0000"/>
      <name val="Arial Black"/>
      <family val="2"/>
    </font>
    <font>
      <b/>
      <sz val="14"/>
      <color rgb="FFFF0000"/>
      <name val="Arial"/>
      <family val="2"/>
    </font>
    <font>
      <b/>
      <sz val="12"/>
      <color rgb="FF00B0F0"/>
      <name val="Arial"/>
      <family val="2"/>
    </font>
    <font>
      <b/>
      <sz val="15"/>
      <color rgb="FF00B0F0"/>
      <name val="Arial Black"/>
      <family val="2"/>
    </font>
    <font>
      <b/>
      <sz val="9"/>
      <color theme="1"/>
      <name val="Arial"/>
      <family val="2"/>
    </font>
    <font>
      <b/>
      <sz val="14"/>
      <color rgb="FF00B0F0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4"/>
      <color theme="0"/>
      <name val="Arial Black"/>
      <family val="2"/>
    </font>
    <font>
      <sz val="8"/>
      <color theme="0"/>
      <name val="Arial Narrow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theme="0"/>
      <name val="Calibri"/>
      <family val="2"/>
    </font>
    <font>
      <sz val="14"/>
      <color theme="0" tint="-0.34998626667073579"/>
      <name val="Arial"/>
      <family val="2"/>
    </font>
    <font>
      <b/>
      <sz val="13"/>
      <color rgb="FF002060"/>
      <name val="Arial"/>
      <family val="2"/>
    </font>
    <font>
      <sz val="14"/>
      <color theme="0" tint="-0.249977111117893"/>
      <name val="Arial"/>
      <family val="2"/>
    </font>
    <font>
      <i/>
      <sz val="14"/>
      <color theme="0"/>
      <name val="Arial"/>
      <family val="2"/>
    </font>
    <font>
      <sz val="10"/>
      <color theme="0"/>
      <name val="Arial"/>
      <family val="2"/>
    </font>
    <font>
      <sz val="13.5"/>
      <color rgb="FFFF0000"/>
      <name val="Arial"/>
      <family val="2"/>
    </font>
    <font>
      <sz val="14"/>
      <color rgb="FF002060"/>
      <name val="Arial"/>
      <family val="2"/>
    </font>
    <font>
      <b/>
      <i/>
      <sz val="15"/>
      <color theme="0"/>
      <name val="Calibri"/>
      <family val="2"/>
      <scheme val="minor"/>
    </font>
    <font>
      <sz val="20"/>
      <color theme="0"/>
      <name val="Arial Black"/>
      <family val="2"/>
    </font>
    <font>
      <sz val="30"/>
      <color theme="0"/>
      <name val="Arial Black"/>
      <family val="2"/>
    </font>
    <font>
      <sz val="11"/>
      <color theme="0"/>
      <name val="Arial Narrow"/>
      <family val="2"/>
    </font>
    <font>
      <sz val="10"/>
      <color theme="0"/>
      <name val="Calibri"/>
      <family val="2"/>
      <scheme val="minor"/>
    </font>
    <font>
      <sz val="14"/>
      <color theme="0"/>
      <name val="Arial"/>
      <family val="2"/>
    </font>
    <font>
      <i/>
      <sz val="14"/>
      <color rgb="FFFF0000"/>
      <name val="Arial"/>
      <family val="2"/>
    </font>
    <font>
      <i/>
      <sz val="10"/>
      <color theme="0"/>
      <name val="Arial"/>
      <family val="2"/>
    </font>
    <font>
      <sz val="20"/>
      <color theme="0"/>
      <name val="Berlin Sans FB Demi"/>
      <family val="2"/>
    </font>
    <font>
      <sz val="45"/>
      <color theme="0"/>
      <name val="Calibri"/>
      <family val="2"/>
      <scheme val="minor"/>
    </font>
    <font>
      <sz val="18"/>
      <color theme="0"/>
      <name val="Arial"/>
      <family val="2"/>
    </font>
    <font>
      <sz val="12"/>
      <color theme="0"/>
      <name val="Arial Narrow"/>
      <family val="2"/>
    </font>
    <font>
      <sz val="40"/>
      <color rgb="FFFF0000"/>
      <name val="Aharoni"/>
      <charset val="177"/>
    </font>
    <font>
      <sz val="12"/>
      <color rgb="FFFF0000"/>
      <name val="Calibri"/>
      <family val="2"/>
      <scheme val="minor"/>
    </font>
    <font>
      <sz val="45"/>
      <color rgb="FFFF0000"/>
      <name val="Calibri"/>
      <family val="2"/>
      <scheme val="minor"/>
    </font>
    <font>
      <b/>
      <i/>
      <sz val="20"/>
      <color rgb="FFFF0000"/>
      <name val="Arial Black"/>
      <family val="2"/>
    </font>
    <font>
      <b/>
      <i/>
      <sz val="14"/>
      <color rgb="FFFF0000"/>
      <name val="Arial"/>
      <family val="2"/>
    </font>
    <font>
      <b/>
      <i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B0F0"/>
      <name val="Calibri"/>
      <family val="2"/>
      <scheme val="minor"/>
    </font>
    <font>
      <b/>
      <i/>
      <sz val="10"/>
      <name val="Arial"/>
      <family val="2"/>
    </font>
    <font>
      <b/>
      <i/>
      <sz val="11"/>
      <color rgb="FF00B0F0"/>
      <name val="Arial"/>
      <family val="2"/>
    </font>
    <font>
      <b/>
      <i/>
      <sz val="11"/>
      <color theme="0"/>
      <name val="Arial"/>
      <family val="2"/>
    </font>
    <font>
      <b/>
      <sz val="30"/>
      <color theme="0"/>
      <name val="Arial Black"/>
      <family val="2"/>
    </font>
    <font>
      <i/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0"/>
      <name val="Arial Black"/>
      <family val="2"/>
    </font>
    <font>
      <b/>
      <i/>
      <sz val="8"/>
      <color theme="0"/>
      <name val="Arial Narrow"/>
      <family val="2"/>
    </font>
    <font>
      <b/>
      <sz val="8"/>
      <color theme="0"/>
      <name val="Calibri"/>
      <family val="2"/>
      <scheme val="minor"/>
    </font>
    <font>
      <sz val="12"/>
      <color theme="1"/>
      <name val="Arial"/>
      <family val="2"/>
    </font>
    <font>
      <b/>
      <i/>
      <sz val="9"/>
      <color theme="0"/>
      <name val="Arial"/>
      <family val="2"/>
    </font>
    <font>
      <sz val="12"/>
      <color theme="0"/>
      <name val="Arial Black"/>
      <family val="2"/>
    </font>
    <font>
      <b/>
      <i/>
      <sz val="9"/>
      <color rgb="FFFF0000"/>
      <name val="Arial"/>
      <family val="2"/>
    </font>
    <font>
      <b/>
      <i/>
      <sz val="12"/>
      <color rgb="FF00B0F0"/>
      <name val="Arial"/>
      <family val="2"/>
    </font>
    <font>
      <b/>
      <i/>
      <sz val="11"/>
      <color theme="9" tint="-0.249977111117893"/>
      <name val="Arial"/>
      <family val="2"/>
    </font>
    <font>
      <i/>
      <sz val="11"/>
      <color theme="9" tint="-0.249977111117893"/>
      <name val="Arial"/>
      <family val="2"/>
    </font>
    <font>
      <i/>
      <sz val="11"/>
      <color theme="8" tint="-0.249977111117893"/>
      <name val="Arial"/>
      <family val="2"/>
    </font>
    <font>
      <b/>
      <i/>
      <sz val="10"/>
      <color theme="9" tint="-0.499984740745262"/>
      <name val="Arial"/>
      <family val="2"/>
    </font>
    <font>
      <b/>
      <sz val="12"/>
      <color theme="0"/>
      <name val="Arial Black"/>
      <family val="2"/>
    </font>
    <font>
      <sz val="9"/>
      <color theme="1"/>
      <name val="Arial"/>
      <family val="2"/>
    </font>
    <font>
      <sz val="12"/>
      <color theme="0"/>
      <name val="Arial"/>
      <family val="2"/>
    </font>
    <font>
      <u/>
      <sz val="12"/>
      <color theme="0"/>
      <name val="Arial"/>
      <family val="2"/>
    </font>
    <font>
      <i/>
      <u/>
      <sz val="12"/>
      <color theme="0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9.5"/>
      <name val="Arial"/>
      <family val="2"/>
    </font>
    <font>
      <b/>
      <sz val="11"/>
      <color theme="0"/>
      <name val="Arial"/>
      <family val="2"/>
    </font>
    <font>
      <sz val="13"/>
      <color theme="0"/>
      <name val="Arial"/>
      <family val="2"/>
    </font>
    <font>
      <b/>
      <sz val="18"/>
      <color theme="0"/>
      <name val="Arial"/>
      <family val="2"/>
    </font>
    <font>
      <sz val="13"/>
      <color theme="1"/>
      <name val="Arial"/>
      <family val="2"/>
    </font>
    <font>
      <b/>
      <sz val="10"/>
      <color theme="1"/>
      <name val="Arial Narrow"/>
      <family val="2"/>
    </font>
    <font>
      <b/>
      <sz val="16"/>
      <color rgb="FFFF0000"/>
      <name val="Arial"/>
      <family val="2"/>
    </font>
    <font>
      <sz val="12"/>
      <name val="Arial"/>
      <family val="2"/>
    </font>
    <font>
      <i/>
      <sz val="13.5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B05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0"/>
      <name val="Arial"/>
      <family val="2"/>
    </font>
    <font>
      <b/>
      <i/>
      <sz val="10"/>
      <color theme="0"/>
      <name val="Arial Narrow"/>
      <family val="2"/>
    </font>
    <font>
      <sz val="7"/>
      <color theme="0"/>
      <name val="Arial"/>
      <family val="2"/>
    </font>
    <font>
      <b/>
      <u/>
      <sz val="11"/>
      <color theme="0"/>
      <name val="Calibri"/>
      <family val="2"/>
      <scheme val="minor"/>
    </font>
    <font>
      <b/>
      <sz val="16"/>
      <color theme="1"/>
      <name val="Arial"/>
      <family val="2"/>
    </font>
    <font>
      <b/>
      <sz val="18"/>
      <color theme="1"/>
      <name val="Arial Black"/>
      <family val="2"/>
    </font>
    <font>
      <b/>
      <sz val="12"/>
      <color theme="1"/>
      <name val="Arial Black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 Narrow"/>
      <family val="2"/>
    </font>
    <font>
      <sz val="15"/>
      <name val="Arial Black"/>
      <family val="2"/>
    </font>
    <font>
      <b/>
      <sz val="18"/>
      <name val="Arial Black"/>
      <family val="2"/>
    </font>
    <font>
      <b/>
      <sz val="13"/>
      <color rgb="FFFF0000"/>
      <name val="Arial Narrow"/>
      <family val="2"/>
    </font>
    <font>
      <b/>
      <sz val="13"/>
      <color rgb="FF002060"/>
      <name val="Arial Narrow"/>
      <family val="2"/>
    </font>
    <font>
      <b/>
      <sz val="13"/>
      <color rgb="FF007635"/>
      <name val="Arial Narrow"/>
      <family val="2"/>
    </font>
    <font>
      <b/>
      <i/>
      <sz val="12"/>
      <color theme="1"/>
      <name val="Arial"/>
      <family val="2"/>
    </font>
    <font>
      <b/>
      <i/>
      <sz val="12"/>
      <color rgb="FFFF0000"/>
      <name val="Arial"/>
      <family val="2"/>
    </font>
    <font>
      <sz val="12"/>
      <color theme="1"/>
      <name val="Arial Black"/>
      <family val="2"/>
    </font>
    <font>
      <sz val="18"/>
      <color theme="1"/>
      <name val="Arial Black"/>
      <family val="2"/>
    </font>
    <font>
      <sz val="16"/>
      <color theme="1"/>
      <name val="Arial Black"/>
      <family val="2"/>
    </font>
    <font>
      <b/>
      <sz val="18"/>
      <color theme="0"/>
      <name val="Calibri"/>
      <family val="2"/>
      <scheme val="minor"/>
    </font>
    <font>
      <b/>
      <sz val="14"/>
      <name val="Arial Black"/>
      <family val="2"/>
    </font>
    <font>
      <b/>
      <u/>
      <sz val="14"/>
      <color theme="2" tint="-0.749992370372631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i/>
      <sz val="13"/>
      <color theme="2" tint="-0.74999237037263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i/>
      <sz val="13"/>
      <color theme="9" tint="-0.249977111117893"/>
      <name val="Calibri"/>
      <family val="2"/>
      <scheme val="minor"/>
    </font>
    <font>
      <b/>
      <sz val="15"/>
      <color rgb="FF00206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6"/>
      <color rgb="FFFFFFFF"/>
      <name val="Arial"/>
      <family val="2"/>
    </font>
    <font>
      <b/>
      <sz val="22"/>
      <name val="Calibri"/>
      <family val="2"/>
      <scheme val="minor"/>
    </font>
    <font>
      <b/>
      <u/>
      <sz val="18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b/>
      <i/>
      <sz val="13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0"/>
      <color rgb="FFFFFF00"/>
      <name val="Arial"/>
      <family val="2"/>
    </font>
    <font>
      <b/>
      <sz val="15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3"/>
      <color theme="0"/>
      <name val="Arial"/>
      <family val="2"/>
    </font>
    <font>
      <b/>
      <i/>
      <sz val="12"/>
      <color rgb="FF002060"/>
      <name val="Calibri"/>
      <family val="2"/>
      <scheme val="minor"/>
    </font>
    <font>
      <sz val="12"/>
      <color rgb="FF00153E"/>
      <name val="Aharoni"/>
      <charset val="177"/>
    </font>
    <font>
      <b/>
      <sz val="33"/>
      <color rgb="FF00153E"/>
      <name val="Aharoni"/>
      <charset val="177"/>
    </font>
    <font>
      <b/>
      <sz val="30"/>
      <color rgb="FF00153E"/>
      <name val="Aharoni"/>
      <charset val="177"/>
    </font>
    <font>
      <b/>
      <sz val="14"/>
      <color rgb="FFFF0000"/>
      <name val="Calibri"/>
      <family val="2"/>
      <scheme val="minor"/>
    </font>
    <font>
      <sz val="12"/>
      <color rgb="FF002060"/>
      <name val="Calibri"/>
      <family val="2"/>
      <scheme val="minor"/>
    </font>
    <font>
      <sz val="10"/>
      <color rgb="FF000000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9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b/>
      <sz val="16"/>
      <color theme="0"/>
      <name val="Arial Black"/>
      <family val="2"/>
    </font>
    <font>
      <b/>
      <sz val="15"/>
      <color theme="0"/>
      <name val="Arial Black"/>
      <family val="2"/>
    </font>
    <font>
      <sz val="16"/>
      <name val="Arial Black"/>
      <family val="2"/>
    </font>
    <font>
      <b/>
      <i/>
      <sz val="16"/>
      <name val="Arial"/>
      <family val="2"/>
    </font>
    <font>
      <sz val="9"/>
      <name val="Arial"/>
      <family val="2"/>
    </font>
    <font>
      <b/>
      <i/>
      <sz val="16"/>
      <color theme="0"/>
      <name val="Arial"/>
      <family val="2"/>
    </font>
    <font>
      <b/>
      <sz val="14"/>
      <color theme="1"/>
      <name val="Arial Black"/>
      <family val="2"/>
    </font>
    <font>
      <b/>
      <i/>
      <sz val="14"/>
      <name val="Arial"/>
      <family val="2"/>
    </font>
    <font>
      <sz val="10"/>
      <color rgb="FFFF0000"/>
      <name val="Arial"/>
      <family val="2"/>
    </font>
    <font>
      <b/>
      <sz val="15"/>
      <name val="Arial"/>
      <family val="2"/>
    </font>
    <font>
      <b/>
      <i/>
      <sz val="20"/>
      <color theme="0"/>
      <name val="Arial Black"/>
      <family val="2"/>
    </font>
    <font>
      <b/>
      <sz val="10"/>
      <color rgb="FFFF0000"/>
      <name val="Arial Narrow"/>
      <family val="2"/>
    </font>
    <font>
      <b/>
      <sz val="18"/>
      <color theme="0"/>
      <name val="Arial Black"/>
      <family val="2"/>
    </font>
    <font>
      <b/>
      <sz val="25"/>
      <color theme="1"/>
      <name val="Arial"/>
      <family val="2"/>
    </font>
    <font>
      <b/>
      <sz val="14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5"/>
      <color rgb="FFC00000"/>
      <name val="Calibri"/>
      <family val="2"/>
      <scheme val="minor"/>
    </font>
    <font>
      <b/>
      <sz val="20"/>
      <color rgb="FFFF0000"/>
      <name val="Arial"/>
      <family val="2"/>
    </font>
    <font>
      <b/>
      <sz val="13"/>
      <color rgb="FF00206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i/>
      <sz val="14"/>
      <color rgb="FF002060"/>
      <name val="Calibri"/>
      <family val="2"/>
      <scheme val="minor"/>
    </font>
    <font>
      <b/>
      <sz val="11"/>
      <color rgb="FFFF0000"/>
      <name val="Arial Black"/>
      <family val="2"/>
    </font>
    <font>
      <b/>
      <i/>
      <u/>
      <sz val="15"/>
      <color rgb="FF002060"/>
      <name val="Calibri"/>
      <family val="2"/>
      <scheme val="minor"/>
    </font>
    <font>
      <b/>
      <u/>
      <sz val="14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3"/>
      <color rgb="FFFF0000"/>
      <name val="Arial"/>
      <family val="2"/>
    </font>
    <font>
      <sz val="11"/>
      <color rgb="FFFF0000"/>
      <name val="Arial"/>
      <family val="2"/>
    </font>
    <font>
      <sz val="10"/>
      <color rgb="FF002060"/>
      <name val="Calibri"/>
      <family val="2"/>
      <scheme val="minor"/>
    </font>
    <font>
      <b/>
      <sz val="11"/>
      <color rgb="FF00B0F0"/>
      <name val="Arial"/>
      <family val="2"/>
    </font>
    <font>
      <sz val="11"/>
      <color theme="9" tint="-0.249977111117893"/>
      <name val="Calibri"/>
      <family val="2"/>
      <scheme val="minor"/>
    </font>
    <font>
      <sz val="11"/>
      <color rgb="FF007635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i/>
      <sz val="11"/>
      <color theme="0"/>
      <name val="Arial"/>
      <family val="2"/>
    </font>
    <font>
      <b/>
      <sz val="30"/>
      <color theme="1"/>
      <name val="Arial"/>
      <family val="2"/>
    </font>
    <font>
      <b/>
      <sz val="18"/>
      <color theme="0"/>
      <name val="Arial Narrow"/>
      <family val="2"/>
    </font>
    <font>
      <b/>
      <sz val="10"/>
      <color rgb="FFFF0000"/>
      <name val="Calibri"/>
      <family val="2"/>
    </font>
    <font>
      <b/>
      <u/>
      <sz val="14"/>
      <color rgb="FFFF0000"/>
      <name val="Arial"/>
      <family val="2"/>
    </font>
    <font>
      <b/>
      <sz val="11.5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color rgb="FF007635"/>
      <name val="Arial"/>
      <family val="2"/>
    </font>
    <font>
      <b/>
      <sz val="14"/>
      <color rgb="FFFFFF00"/>
      <name val="Arial"/>
      <family val="2"/>
    </font>
    <font>
      <u/>
      <sz val="11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23"/>
      <color rgb="FFFF0000"/>
      <name val="Arial"/>
      <family val="2"/>
    </font>
    <font>
      <sz val="15"/>
      <color rgb="FFFF0000"/>
      <name val="Calibri"/>
      <family val="2"/>
      <scheme val="minor"/>
    </font>
    <font>
      <b/>
      <sz val="12"/>
      <name val="Arial Narrow"/>
      <family val="2"/>
    </font>
    <font>
      <b/>
      <i/>
      <u/>
      <sz val="12"/>
      <color rgb="FF00B0F0"/>
      <name val="Arial Narrow"/>
      <family val="2"/>
    </font>
    <font>
      <u/>
      <sz val="11"/>
      <color rgb="FFFF0000"/>
      <name val="Calibri"/>
      <family val="2"/>
    </font>
    <font>
      <sz val="13"/>
      <color rgb="FFFF0000"/>
      <name val="Arial"/>
      <family val="2"/>
    </font>
    <font>
      <sz val="13"/>
      <color rgb="FFFF0000"/>
      <name val="Calibri"/>
      <family val="2"/>
      <scheme val="minor"/>
    </font>
    <font>
      <b/>
      <sz val="9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/>
      <name val="Calibri"/>
      <family val="2"/>
      <scheme val="minor"/>
    </font>
    <font>
      <b/>
      <i/>
      <u/>
      <sz val="13"/>
      <color rgb="FF002060"/>
      <name val="Calibri"/>
      <family val="2"/>
      <scheme val="minor"/>
    </font>
    <font>
      <sz val="8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b/>
      <u/>
      <sz val="20"/>
      <color rgb="FFFF0000"/>
      <name val="Calibri"/>
      <family val="2"/>
    </font>
    <font>
      <b/>
      <sz val="15"/>
      <color theme="1"/>
      <name val="Arial"/>
      <family val="2"/>
    </font>
    <font>
      <sz val="11"/>
      <name val="Calibri"/>
      <family val="2"/>
    </font>
    <font>
      <b/>
      <i/>
      <sz val="12"/>
      <color theme="0"/>
      <name val="Arial"/>
      <family val="2"/>
    </font>
    <font>
      <b/>
      <i/>
      <sz val="14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7FFB7"/>
        <bgColor indexed="64"/>
      </patternFill>
    </fill>
  </fills>
  <borders count="14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 style="thin">
        <color indexed="64"/>
      </left>
      <right/>
      <top style="hair">
        <color rgb="FF002060"/>
      </top>
      <bottom/>
      <diagonal/>
    </border>
    <border>
      <left/>
      <right/>
      <top style="hair">
        <color rgb="FF002060"/>
      </top>
      <bottom/>
      <diagonal/>
    </border>
    <border>
      <left/>
      <right style="thin">
        <color indexed="64"/>
      </right>
      <top style="hair">
        <color rgb="FF002060"/>
      </top>
      <bottom/>
      <diagonal/>
    </border>
    <border>
      <left style="thin">
        <color indexed="64"/>
      </left>
      <right/>
      <top style="hair">
        <color rgb="FF002060"/>
      </top>
      <bottom style="hair">
        <color rgb="FF002060"/>
      </bottom>
      <diagonal/>
    </border>
    <border>
      <left/>
      <right style="thin">
        <color indexed="64"/>
      </right>
      <top style="hair">
        <color rgb="FF002060"/>
      </top>
      <bottom style="hair">
        <color rgb="FF00206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indexed="64"/>
      </right>
      <top style="thin">
        <color rgb="FF0020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/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 style="medium">
        <color indexed="64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n">
        <color auto="1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auto="1"/>
      </bottom>
      <diagonal/>
    </border>
  </borders>
  <cellStyleXfs count="12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6" fillId="0" borderId="0"/>
    <xf numFmtId="0" fontId="15" fillId="0" borderId="0"/>
    <xf numFmtId="0" fontId="14" fillId="0" borderId="0"/>
    <xf numFmtId="0" fontId="12" fillId="0" borderId="0"/>
    <xf numFmtId="0" fontId="12" fillId="0" borderId="0"/>
    <xf numFmtId="0" fontId="229" fillId="0" borderId="0"/>
    <xf numFmtId="0" fontId="229" fillId="0" borderId="0"/>
    <xf numFmtId="0" fontId="11" fillId="0" borderId="0"/>
    <xf numFmtId="0" fontId="10" fillId="0" borderId="0"/>
  </cellStyleXfs>
  <cellXfs count="1668">
    <xf numFmtId="0" fontId="0" fillId="0" borderId="0" xfId="0"/>
    <xf numFmtId="0" fontId="0" fillId="2" borderId="0" xfId="0" applyFill="1"/>
    <xf numFmtId="0" fontId="18" fillId="2" borderId="0" xfId="0" applyFont="1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0" xfId="1" applyFont="1" applyFill="1" applyBorder="1" applyAlignment="1" applyProtection="1">
      <alignment horizontal="center" vertical="center"/>
    </xf>
    <xf numFmtId="0" fontId="25" fillId="2" borderId="0" xfId="0" applyFont="1" applyFill="1"/>
    <xf numFmtId="0" fontId="36" fillId="2" borderId="0" xfId="0" applyFont="1" applyFill="1" applyAlignment="1">
      <alignment horizontal="center" vertical="center"/>
    </xf>
    <xf numFmtId="0" fontId="34" fillId="2" borderId="0" xfId="0" applyFont="1" applyFill="1"/>
    <xf numFmtId="0" fontId="32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3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35" fillId="2" borderId="0" xfId="0" applyFont="1" applyFill="1" applyAlignment="1">
      <alignment horizontal="right" vertical="center"/>
    </xf>
    <xf numFmtId="2" fontId="20" fillId="2" borderId="0" xfId="1" applyNumberFormat="1" applyFill="1" applyBorder="1" applyAlignment="1" applyProtection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6" fillId="2" borderId="0" xfId="0" applyFont="1" applyFill="1" applyAlignment="1">
      <alignment horizontal="center"/>
    </xf>
    <xf numFmtId="0" fontId="15" fillId="2" borderId="0" xfId="4" applyFill="1" applyAlignment="1">
      <alignment vertical="center"/>
    </xf>
    <xf numFmtId="0" fontId="54" fillId="2" borderId="0" xfId="4" applyFont="1" applyFill="1" applyAlignment="1">
      <alignment horizontal="right" vertical="center"/>
    </xf>
    <xf numFmtId="0" fontId="37" fillId="2" borderId="0" xfId="4" applyFont="1" applyFill="1" applyAlignment="1">
      <alignment horizontal="left" vertical="center"/>
    </xf>
    <xf numFmtId="0" fontId="19" fillId="2" borderId="0" xfId="4" applyFont="1" applyFill="1" applyAlignment="1">
      <alignment vertical="center"/>
    </xf>
    <xf numFmtId="0" fontId="58" fillId="2" borderId="0" xfId="0" applyFont="1" applyFill="1" applyAlignment="1">
      <alignment horizontal="left" vertical="center"/>
    </xf>
    <xf numFmtId="0" fontId="59" fillId="2" borderId="0" xfId="4" applyFont="1" applyFill="1" applyAlignment="1">
      <alignment vertical="center"/>
    </xf>
    <xf numFmtId="0" fontId="59" fillId="2" borderId="0" xfId="4" applyFont="1" applyFill="1" applyAlignment="1">
      <alignment horizontal="left" vertical="center"/>
    </xf>
    <xf numFmtId="4" fontId="60" fillId="2" borderId="0" xfId="4" applyNumberFormat="1" applyFont="1" applyFill="1" applyAlignment="1">
      <alignment vertical="center"/>
    </xf>
    <xf numFmtId="20" fontId="59" fillId="2" borderId="0" xfId="4" applyNumberFormat="1" applyFont="1" applyFill="1" applyAlignment="1">
      <alignment horizontal="left" vertical="center"/>
    </xf>
    <xf numFmtId="0" fontId="19" fillId="2" borderId="0" xfId="4" applyFont="1" applyFill="1" applyAlignment="1">
      <alignment horizontal="center" vertical="center"/>
    </xf>
    <xf numFmtId="0" fontId="42" fillId="2" borderId="0" xfId="1" applyFont="1" applyFill="1" applyBorder="1" applyAlignment="1" applyProtection="1">
      <alignment horizontal="center" vertical="top"/>
    </xf>
    <xf numFmtId="0" fontId="47" fillId="2" borderId="0" xfId="4" applyFont="1" applyFill="1" applyAlignment="1">
      <alignment horizontal="right" vertical="center"/>
    </xf>
    <xf numFmtId="0" fontId="45" fillId="2" borderId="0" xfId="4" applyFont="1" applyFill="1" applyAlignment="1">
      <alignment horizontal="right" vertical="center"/>
    </xf>
    <xf numFmtId="0" fontId="50" fillId="2" borderId="0" xfId="4" applyFont="1" applyFill="1" applyAlignment="1">
      <alignment horizontal="right" vertical="center"/>
    </xf>
    <xf numFmtId="0" fontId="52" fillId="2" borderId="0" xfId="4" applyFont="1" applyFill="1" applyAlignment="1">
      <alignment horizontal="right" vertical="center"/>
    </xf>
    <xf numFmtId="4" fontId="61" fillId="2" borderId="0" xfId="4" applyNumberFormat="1" applyFont="1" applyFill="1" applyAlignment="1">
      <alignment vertical="center"/>
    </xf>
    <xf numFmtId="4" fontId="61" fillId="2" borderId="0" xfId="4" applyNumberFormat="1" applyFont="1" applyFill="1" applyAlignment="1">
      <alignment horizontal="center" vertical="center"/>
    </xf>
    <xf numFmtId="4" fontId="60" fillId="2" borderId="0" xfId="4" applyNumberFormat="1" applyFont="1" applyFill="1" applyAlignment="1">
      <alignment horizontal="center" vertical="center"/>
    </xf>
    <xf numFmtId="4" fontId="44" fillId="2" borderId="0" xfId="4" applyNumberFormat="1" applyFont="1" applyFill="1" applyAlignment="1">
      <alignment vertical="center"/>
    </xf>
    <xf numFmtId="4" fontId="62" fillId="2" borderId="0" xfId="4" applyNumberFormat="1" applyFont="1" applyFill="1" applyAlignment="1">
      <alignment horizontal="center" vertical="center"/>
    </xf>
    <xf numFmtId="4" fontId="62" fillId="2" borderId="0" xfId="4" applyNumberFormat="1" applyFont="1" applyFill="1" applyAlignment="1">
      <alignment vertical="center"/>
    </xf>
    <xf numFmtId="4" fontId="63" fillId="2" borderId="0" xfId="4" applyNumberFormat="1" applyFont="1" applyFill="1" applyAlignment="1">
      <alignment horizontal="center" vertical="center"/>
    </xf>
    <xf numFmtId="0" fontId="64" fillId="2" borderId="0" xfId="4" applyFont="1" applyFill="1" applyAlignment="1">
      <alignment horizontal="center" vertical="center"/>
    </xf>
    <xf numFmtId="0" fontId="20" fillId="2" borderId="0" xfId="1" applyFill="1" applyBorder="1" applyAlignment="1" applyProtection="1">
      <alignment horizontal="left" vertical="center"/>
    </xf>
    <xf numFmtId="0" fontId="65" fillId="2" borderId="0" xfId="4" applyFont="1" applyFill="1" applyAlignment="1">
      <alignment horizontal="left" vertical="center"/>
    </xf>
    <xf numFmtId="0" fontId="19" fillId="2" borderId="0" xfId="4" quotePrefix="1" applyFont="1" applyFill="1" applyAlignment="1">
      <alignment vertical="center"/>
    </xf>
    <xf numFmtId="165" fontId="0" fillId="2" borderId="0" xfId="0" applyNumberFormat="1" applyFill="1"/>
    <xf numFmtId="4" fontId="68" fillId="2" borderId="0" xfId="4" applyNumberFormat="1" applyFont="1" applyFill="1" applyAlignment="1">
      <alignment vertical="center"/>
    </xf>
    <xf numFmtId="0" fontId="15" fillId="2" borderId="0" xfId="4" applyFill="1" applyAlignment="1">
      <alignment horizontal="center" vertical="center"/>
    </xf>
    <xf numFmtId="0" fontId="71" fillId="2" borderId="0" xfId="4" applyFont="1" applyFill="1" applyAlignment="1">
      <alignment horizontal="right" vertical="center"/>
    </xf>
    <xf numFmtId="0" fontId="72" fillId="2" borderId="0" xfId="4" applyFont="1" applyFill="1" applyAlignment="1">
      <alignment horizontal="right" vertical="center"/>
    </xf>
    <xf numFmtId="0" fontId="73" fillId="2" borderId="0" xfId="4" applyFont="1" applyFill="1" applyAlignment="1">
      <alignment horizontal="right" vertical="center"/>
    </xf>
    <xf numFmtId="164" fontId="80" fillId="2" borderId="0" xfId="0" applyNumberFormat="1" applyFont="1" applyFill="1" applyAlignment="1">
      <alignment horizontal="left" vertical="center"/>
    </xf>
    <xf numFmtId="164" fontId="81" fillId="2" borderId="0" xfId="0" applyNumberFormat="1" applyFont="1" applyFill="1" applyAlignment="1">
      <alignment horizontal="center" vertical="center"/>
    </xf>
    <xf numFmtId="2" fontId="81" fillId="2" borderId="0" xfId="0" applyNumberFormat="1" applyFont="1" applyFill="1" applyAlignment="1">
      <alignment horizontal="center" vertical="center"/>
    </xf>
    <xf numFmtId="0" fontId="83" fillId="2" borderId="0" xfId="0" applyFont="1" applyFill="1" applyAlignment="1">
      <alignment horizontal="center"/>
    </xf>
    <xf numFmtId="0" fontId="83" fillId="2" borderId="0" xfId="0" applyFont="1" applyFill="1" applyAlignment="1">
      <alignment horizontal="right"/>
    </xf>
    <xf numFmtId="0" fontId="83" fillId="2" borderId="0" xfId="0" applyFont="1" applyFill="1" applyAlignment="1">
      <alignment horizontal="right" vertical="top"/>
    </xf>
    <xf numFmtId="0" fontId="19" fillId="2" borderId="0" xfId="0" applyFont="1" applyFill="1"/>
    <xf numFmtId="0" fontId="45" fillId="6" borderId="28" xfId="0" applyFont="1" applyFill="1" applyBorder="1" applyAlignment="1">
      <alignment horizontal="center" vertical="center"/>
    </xf>
    <xf numFmtId="0" fontId="19" fillId="2" borderId="3" xfId="0" applyFont="1" applyFill="1" applyBorder="1"/>
    <xf numFmtId="0" fontId="59" fillId="2" borderId="0" xfId="4" applyFont="1" applyFill="1" applyAlignment="1">
      <alignment horizontal="center" vertical="center"/>
    </xf>
    <xf numFmtId="0" fontId="96" fillId="2" borderId="0" xfId="0" applyFont="1" applyFill="1"/>
    <xf numFmtId="0" fontId="96" fillId="2" borderId="0" xfId="0" applyFont="1" applyFill="1" applyAlignment="1">
      <alignment horizontal="right"/>
    </xf>
    <xf numFmtId="0" fontId="96" fillId="2" borderId="0" xfId="0" applyFont="1" applyFill="1" applyAlignment="1">
      <alignment vertical="center"/>
    </xf>
    <xf numFmtId="0" fontId="84" fillId="2" borderId="0" xfId="4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100" fillId="2" borderId="0" xfId="0" quotePrefix="1" applyFont="1" applyFill="1" applyAlignment="1">
      <alignment horizontal="left" vertical="center"/>
    </xf>
    <xf numFmtId="0" fontId="102" fillId="2" borderId="0" xfId="0" applyFont="1" applyFill="1" applyAlignment="1">
      <alignment horizontal="center" vertical="center"/>
    </xf>
    <xf numFmtId="0" fontId="103" fillId="2" borderId="0" xfId="0" applyFont="1" applyFill="1" applyAlignment="1">
      <alignment horizontal="center"/>
    </xf>
    <xf numFmtId="0" fontId="49" fillId="2" borderId="0" xfId="0" applyFont="1" applyFill="1" applyAlignment="1">
      <alignment horizontal="center" vertical="center"/>
    </xf>
    <xf numFmtId="0" fontId="104" fillId="2" borderId="0" xfId="1" applyFont="1" applyFill="1" applyBorder="1" applyAlignment="1" applyProtection="1">
      <alignment horizontal="left" vertical="center"/>
    </xf>
    <xf numFmtId="0" fontId="0" fillId="2" borderId="3" xfId="0" applyFill="1" applyBorder="1" applyAlignment="1">
      <alignment horizontal="center"/>
    </xf>
    <xf numFmtId="0" fontId="105" fillId="2" borderId="0" xfId="4" applyFont="1" applyFill="1" applyAlignment="1">
      <alignment horizontal="left" vertical="center"/>
    </xf>
    <xf numFmtId="165" fontId="66" fillId="2" borderId="0" xfId="4" applyNumberFormat="1" applyFont="1" applyFill="1" applyAlignment="1">
      <alignment horizontal="center" vertical="center"/>
    </xf>
    <xf numFmtId="0" fontId="89" fillId="2" borderId="0" xfId="4" applyFont="1" applyFill="1" applyAlignment="1">
      <alignment horizontal="right" vertical="center"/>
    </xf>
    <xf numFmtId="165" fontId="108" fillId="2" borderId="0" xfId="4" applyNumberFormat="1" applyFont="1" applyFill="1" applyAlignment="1">
      <alignment horizontal="left" vertical="center"/>
    </xf>
    <xf numFmtId="165" fontId="109" fillId="2" borderId="0" xfId="0" applyNumberFormat="1" applyFont="1" applyFill="1" applyAlignment="1">
      <alignment vertical="center"/>
    </xf>
    <xf numFmtId="0" fontId="89" fillId="2" borderId="3" xfId="4" applyFont="1" applyFill="1" applyBorder="1" applyAlignment="1">
      <alignment horizontal="right" vertical="center"/>
    </xf>
    <xf numFmtId="0" fontId="111" fillId="2" borderId="0" xfId="4" applyFont="1" applyFill="1" applyAlignment="1">
      <alignment horizontal="left" vertical="center"/>
    </xf>
    <xf numFmtId="0" fontId="112" fillId="2" borderId="0" xfId="4" applyFont="1" applyFill="1" applyAlignment="1">
      <alignment horizontal="left" vertical="center"/>
    </xf>
    <xf numFmtId="0" fontId="113" fillId="2" borderId="0" xfId="4" applyFont="1" applyFill="1" applyAlignment="1">
      <alignment horizontal="left" vertical="center"/>
    </xf>
    <xf numFmtId="0" fontId="96" fillId="2" borderId="0" xfId="4" applyFont="1" applyFill="1" applyAlignment="1">
      <alignment vertical="center"/>
    </xf>
    <xf numFmtId="0" fontId="115" fillId="2" borderId="0" xfId="4" applyFont="1" applyFill="1" applyAlignment="1">
      <alignment vertical="center"/>
    </xf>
    <xf numFmtId="0" fontId="115" fillId="2" borderId="0" xfId="4" applyFont="1" applyFill="1" applyAlignment="1">
      <alignment horizontal="left" vertical="center"/>
    </xf>
    <xf numFmtId="165" fontId="96" fillId="2" borderId="0" xfId="0" applyNumberFormat="1" applyFont="1" applyFill="1"/>
    <xf numFmtId="0" fontId="96" fillId="2" borderId="0" xfId="4" applyFont="1" applyFill="1" applyAlignment="1">
      <alignment horizontal="center" vertical="center"/>
    </xf>
    <xf numFmtId="4" fontId="116" fillId="2" borderId="0" xfId="4" applyNumberFormat="1" applyFont="1" applyFill="1" applyAlignment="1">
      <alignment vertical="center"/>
    </xf>
    <xf numFmtId="0" fontId="96" fillId="0" borderId="0" xfId="0" applyFont="1"/>
    <xf numFmtId="0" fontId="108" fillId="2" borderId="0" xfId="0" applyFont="1" applyFill="1" applyAlignment="1">
      <alignment horizontal="center" vertical="center"/>
    </xf>
    <xf numFmtId="0" fontId="118" fillId="2" borderId="0" xfId="0" applyFont="1" applyFill="1" applyAlignment="1">
      <alignment horizontal="center" vertical="center"/>
    </xf>
    <xf numFmtId="0" fontId="119" fillId="2" borderId="0" xfId="0" applyFont="1" applyFill="1" applyAlignment="1">
      <alignment horizontal="left" vertical="center"/>
    </xf>
    <xf numFmtId="0" fontId="119" fillId="2" borderId="0" xfId="0" applyFont="1" applyFill="1" applyAlignment="1">
      <alignment horizontal="center" vertical="center"/>
    </xf>
    <xf numFmtId="164" fontId="53" fillId="2" borderId="0" xfId="0" quotePrefix="1" applyNumberFormat="1" applyFont="1" applyFill="1" applyAlignment="1">
      <alignment horizontal="center" vertical="center"/>
    </xf>
    <xf numFmtId="0" fontId="74" fillId="2" borderId="0" xfId="0" applyFont="1" applyFill="1" applyAlignment="1">
      <alignment horizontal="center" vertical="center"/>
    </xf>
    <xf numFmtId="0" fontId="121" fillId="2" borderId="0" xfId="4" applyFont="1" applyFill="1" applyAlignment="1">
      <alignment horizontal="right" vertical="center"/>
    </xf>
    <xf numFmtId="0" fontId="122" fillId="2" borderId="0" xfId="4" applyFont="1" applyFill="1" applyAlignment="1">
      <alignment horizontal="left" vertical="center"/>
    </xf>
    <xf numFmtId="0" fontId="123" fillId="2" borderId="0" xfId="4" applyFont="1" applyFill="1" applyAlignment="1">
      <alignment horizontal="right" vertical="center"/>
    </xf>
    <xf numFmtId="0" fontId="114" fillId="2" borderId="0" xfId="4" applyFont="1" applyFill="1" applyAlignment="1">
      <alignment vertical="center"/>
    </xf>
    <xf numFmtId="0" fontId="124" fillId="2" borderId="0" xfId="0" applyFont="1" applyFill="1" applyAlignment="1">
      <alignment horizontal="right" vertical="center"/>
    </xf>
    <xf numFmtId="0" fontId="125" fillId="2" borderId="0" xfId="4" applyFont="1" applyFill="1" applyAlignment="1">
      <alignment vertical="center"/>
    </xf>
    <xf numFmtId="0" fontId="126" fillId="2" borderId="0" xfId="4" applyFont="1" applyFill="1" applyAlignment="1">
      <alignment horizontal="right" vertical="center"/>
    </xf>
    <xf numFmtId="0" fontId="127" fillId="2" borderId="0" xfId="4" applyFont="1" applyFill="1" applyAlignment="1">
      <alignment horizontal="left" vertical="center"/>
    </xf>
    <xf numFmtId="49" fontId="128" fillId="2" borderId="0" xfId="4" applyNumberFormat="1" applyFont="1" applyFill="1" applyAlignment="1">
      <alignment horizontal="center" vertical="center"/>
    </xf>
    <xf numFmtId="0" fontId="129" fillId="0" borderId="0" xfId="0" applyFont="1" applyAlignment="1">
      <alignment horizontal="right"/>
    </xf>
    <xf numFmtId="0" fontId="130" fillId="0" borderId="0" xfId="0" applyFont="1" applyAlignment="1">
      <alignment horizontal="right"/>
    </xf>
    <xf numFmtId="0" fontId="64" fillId="2" borderId="0" xfId="4" applyFont="1" applyFill="1" applyAlignment="1">
      <alignment horizontal="left" vertical="center"/>
    </xf>
    <xf numFmtId="0" fontId="135" fillId="2" borderId="0" xfId="0" applyFont="1" applyFill="1" applyAlignment="1">
      <alignment horizontal="center" vertical="center"/>
    </xf>
    <xf numFmtId="0" fontId="95" fillId="2" borderId="3" xfId="0" applyFont="1" applyFill="1" applyBorder="1" applyAlignment="1">
      <alignment horizontal="center" vertical="center"/>
    </xf>
    <xf numFmtId="0" fontId="45" fillId="6" borderId="14" xfId="0" applyFont="1" applyFill="1" applyBorder="1" applyAlignment="1">
      <alignment horizontal="center" vertical="center"/>
    </xf>
    <xf numFmtId="0" fontId="45" fillId="6" borderId="25" xfId="0" applyFont="1" applyFill="1" applyBorder="1" applyAlignment="1">
      <alignment horizontal="center" vertical="center"/>
    </xf>
    <xf numFmtId="0" fontId="45" fillId="6" borderId="16" xfId="0" applyFont="1" applyFill="1" applyBorder="1" applyAlignment="1">
      <alignment horizontal="center" vertical="center"/>
    </xf>
    <xf numFmtId="0" fontId="45" fillId="6" borderId="19" xfId="0" applyFont="1" applyFill="1" applyBorder="1" applyAlignment="1">
      <alignment horizontal="center" vertical="center"/>
    </xf>
    <xf numFmtId="0" fontId="45" fillId="6" borderId="32" xfId="0" applyFont="1" applyFill="1" applyBorder="1" applyAlignment="1">
      <alignment horizontal="center" vertical="center"/>
    </xf>
    <xf numFmtId="0" fontId="87" fillId="2" borderId="0" xfId="0" applyFont="1" applyFill="1" applyAlignment="1">
      <alignment horizontal="center" vertical="center"/>
    </xf>
    <xf numFmtId="0" fontId="137" fillId="2" borderId="27" xfId="0" applyFont="1" applyFill="1" applyBorder="1" applyAlignment="1">
      <alignment horizontal="left" vertical="center"/>
    </xf>
    <xf numFmtId="0" fontId="137" fillId="2" borderId="3" xfId="0" applyFont="1" applyFill="1" applyBorder="1" applyAlignment="1">
      <alignment horizontal="left" vertical="center"/>
    </xf>
    <xf numFmtId="0" fontId="137" fillId="2" borderId="31" xfId="0" applyFont="1" applyFill="1" applyBorder="1" applyAlignment="1">
      <alignment horizontal="left" vertical="center"/>
    </xf>
    <xf numFmtId="0" fontId="137" fillId="2" borderId="20" xfId="0" applyFont="1" applyFill="1" applyBorder="1" applyAlignment="1">
      <alignment horizontal="left" vertical="center"/>
    </xf>
    <xf numFmtId="3" fontId="67" fillId="8" borderId="28" xfId="0" applyNumberFormat="1" applyFont="1" applyFill="1" applyBorder="1" applyAlignment="1">
      <alignment horizontal="center" vertical="center"/>
    </xf>
    <xf numFmtId="3" fontId="67" fillId="8" borderId="34" xfId="0" applyNumberFormat="1" applyFont="1" applyFill="1" applyBorder="1" applyAlignment="1">
      <alignment horizontal="center" vertical="center"/>
    </xf>
    <xf numFmtId="0" fontId="45" fillId="6" borderId="17" xfId="0" applyFont="1" applyFill="1" applyBorder="1" applyAlignment="1">
      <alignment horizontal="center" vertical="center"/>
    </xf>
    <xf numFmtId="4" fontId="138" fillId="2" borderId="0" xfId="0" applyNumberFormat="1" applyFont="1" applyFill="1"/>
    <xf numFmtId="4" fontId="98" fillId="2" borderId="0" xfId="0" applyNumberFormat="1" applyFont="1" applyFill="1" applyAlignment="1">
      <alignment horizontal="center"/>
    </xf>
    <xf numFmtId="4" fontId="97" fillId="2" borderId="0" xfId="0" applyNumberFormat="1" applyFont="1" applyFill="1" applyAlignment="1">
      <alignment horizontal="center" vertical="center"/>
    </xf>
    <xf numFmtId="4" fontId="139" fillId="2" borderId="0" xfId="0" applyNumberFormat="1" applyFont="1" applyFill="1" applyAlignment="1">
      <alignment horizontal="center" vertical="center"/>
    </xf>
    <xf numFmtId="4" fontId="97" fillId="2" borderId="0" xfId="0" applyNumberFormat="1" applyFont="1" applyFill="1" applyAlignment="1">
      <alignment horizontal="left" vertical="center"/>
    </xf>
    <xf numFmtId="4" fontId="98" fillId="2" borderId="0" xfId="0" applyNumberFormat="1" applyFont="1" applyFill="1" applyAlignment="1">
      <alignment horizontal="right"/>
    </xf>
    <xf numFmtId="4" fontId="140" fillId="2" borderId="0" xfId="0" applyNumberFormat="1" applyFont="1" applyFill="1" applyAlignment="1">
      <alignment horizontal="center" vertical="center"/>
    </xf>
    <xf numFmtId="4" fontId="141" fillId="2" borderId="0" xfId="0" applyNumberFormat="1" applyFont="1" applyFill="1" applyAlignment="1">
      <alignment horizontal="center"/>
    </xf>
    <xf numFmtId="4" fontId="141" fillId="2" borderId="0" xfId="0" applyNumberFormat="1" applyFont="1" applyFill="1" applyAlignment="1">
      <alignment horizontal="center" vertical="center"/>
    </xf>
    <xf numFmtId="4" fontId="97" fillId="2" borderId="0" xfId="0" applyNumberFormat="1" applyFont="1" applyFill="1" applyAlignment="1">
      <alignment horizontal="right" vertical="center"/>
    </xf>
    <xf numFmtId="4" fontId="97" fillId="2" borderId="0" xfId="0" applyNumberFormat="1" applyFont="1" applyFill="1" applyAlignment="1">
      <alignment horizontal="center"/>
    </xf>
    <xf numFmtId="4" fontId="97" fillId="2" borderId="0" xfId="0" applyNumberFormat="1" applyFont="1" applyFill="1" applyAlignment="1">
      <alignment vertical="center"/>
    </xf>
    <xf numFmtId="4" fontId="97" fillId="2" borderId="0" xfId="0" applyNumberFormat="1" applyFont="1" applyFill="1" applyAlignment="1">
      <alignment horizontal="right"/>
    </xf>
    <xf numFmtId="0" fontId="134" fillId="2" borderId="3" xfId="0" applyFont="1" applyFill="1" applyBorder="1" applyAlignment="1">
      <alignment horizontal="center" vertical="center"/>
    </xf>
    <xf numFmtId="0" fontId="134" fillId="2" borderId="3" xfId="0" applyFont="1" applyFill="1" applyBorder="1" applyAlignment="1">
      <alignment horizontal="center" vertical="top"/>
    </xf>
    <xf numFmtId="0" fontId="94" fillId="2" borderId="3" xfId="0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center"/>
    </xf>
    <xf numFmtId="0" fontId="92" fillId="2" borderId="3" xfId="0" applyFont="1" applyFill="1" applyBorder="1" applyAlignment="1">
      <alignment horizontal="center" vertical="center"/>
    </xf>
    <xf numFmtId="164" fontId="79" fillId="2" borderId="26" xfId="0" applyNumberFormat="1" applyFont="1" applyFill="1" applyBorder="1" applyAlignment="1">
      <alignment horizontal="right" vertical="center"/>
    </xf>
    <xf numFmtId="0" fontId="148" fillId="2" borderId="3" xfId="0" applyFont="1" applyFill="1" applyBorder="1" applyAlignment="1">
      <alignment horizontal="center" vertical="center"/>
    </xf>
    <xf numFmtId="0" fontId="149" fillId="2" borderId="3" xfId="0" applyFont="1" applyFill="1" applyBorder="1" applyAlignment="1">
      <alignment horizontal="center" vertical="center"/>
    </xf>
    <xf numFmtId="0" fontId="136" fillId="10" borderId="2" xfId="0" applyFont="1" applyFill="1" applyBorder="1" applyAlignment="1">
      <alignment horizontal="center" vertical="center"/>
    </xf>
    <xf numFmtId="0" fontId="136" fillId="10" borderId="0" xfId="0" applyFont="1" applyFill="1" applyAlignment="1">
      <alignment horizontal="center" vertical="center"/>
    </xf>
    <xf numFmtId="0" fontId="136" fillId="10" borderId="3" xfId="0" applyFont="1" applyFill="1" applyBorder="1" applyAlignment="1">
      <alignment horizontal="center" vertical="center"/>
    </xf>
    <xf numFmtId="0" fontId="45" fillId="6" borderId="29" xfId="0" applyFont="1" applyFill="1" applyBorder="1" applyAlignment="1">
      <alignment horizontal="center" vertical="center"/>
    </xf>
    <xf numFmtId="0" fontId="0" fillId="10" borderId="0" xfId="0" applyFill="1"/>
    <xf numFmtId="0" fontId="153" fillId="10" borderId="2" xfId="0" applyFont="1" applyFill="1" applyBorder="1"/>
    <xf numFmtId="0" fontId="153" fillId="10" borderId="0" xfId="0" applyFont="1" applyFill="1"/>
    <xf numFmtId="0" fontId="153" fillId="10" borderId="3" xfId="0" applyFont="1" applyFill="1" applyBorder="1"/>
    <xf numFmtId="0" fontId="162" fillId="2" borderId="0" xfId="0" applyFont="1" applyFill="1" applyAlignment="1">
      <alignment horizontal="center" vertical="center"/>
    </xf>
    <xf numFmtId="0" fontId="161" fillId="5" borderId="37" xfId="0" applyFont="1" applyFill="1" applyBorder="1" applyAlignment="1">
      <alignment horizontal="right" vertical="center"/>
    </xf>
    <xf numFmtId="0" fontId="161" fillId="5" borderId="29" xfId="0" applyFont="1" applyFill="1" applyBorder="1" applyAlignment="1">
      <alignment horizontal="right" vertical="center"/>
    </xf>
    <xf numFmtId="0" fontId="163" fillId="2" borderId="29" xfId="0" applyFont="1" applyFill="1" applyBorder="1" applyAlignment="1">
      <alignment horizontal="right" vertical="center"/>
    </xf>
    <xf numFmtId="0" fontId="163" fillId="2" borderId="17" xfId="0" applyFont="1" applyFill="1" applyBorder="1" applyAlignment="1">
      <alignment horizontal="right" vertical="center"/>
    </xf>
    <xf numFmtId="0" fontId="0" fillId="10" borderId="14" xfId="0" applyFill="1" applyBorder="1"/>
    <xf numFmtId="0" fontId="0" fillId="10" borderId="15" xfId="0" applyFill="1" applyBorder="1"/>
    <xf numFmtId="0" fontId="67" fillId="2" borderId="32" xfId="0" applyFont="1" applyFill="1" applyBorder="1" applyAlignment="1">
      <alignment horizontal="center"/>
    </xf>
    <xf numFmtId="0" fontId="67" fillId="2" borderId="33" xfId="0" applyFont="1" applyFill="1" applyBorder="1" applyAlignment="1">
      <alignment horizontal="center"/>
    </xf>
    <xf numFmtId="0" fontId="0" fillId="2" borderId="36" xfId="0" applyFill="1" applyBorder="1"/>
    <xf numFmtId="0" fontId="0" fillId="10" borderId="3" xfId="0" applyFill="1" applyBorder="1"/>
    <xf numFmtId="0" fontId="156" fillId="2" borderId="25" xfId="0" quotePrefix="1" applyFont="1" applyFill="1" applyBorder="1" applyAlignment="1">
      <alignment horizontal="center" vertical="center"/>
    </xf>
    <xf numFmtId="164" fontId="156" fillId="2" borderId="27" xfId="0" quotePrefix="1" applyNumberFormat="1" applyFont="1" applyFill="1" applyBorder="1" applyAlignment="1">
      <alignment horizontal="center" vertical="center"/>
    </xf>
    <xf numFmtId="0" fontId="156" fillId="2" borderId="14" xfId="0" quotePrefix="1" applyFont="1" applyFill="1" applyBorder="1" applyAlignment="1">
      <alignment horizontal="center" vertical="center"/>
    </xf>
    <xf numFmtId="164" fontId="156" fillId="2" borderId="15" xfId="0" quotePrefix="1" applyNumberFormat="1" applyFont="1" applyFill="1" applyBorder="1" applyAlignment="1">
      <alignment horizontal="center" vertical="center"/>
    </xf>
    <xf numFmtId="0" fontId="156" fillId="2" borderId="2" xfId="0" quotePrefix="1" applyFont="1" applyFill="1" applyBorder="1" applyAlignment="1">
      <alignment horizontal="center" vertical="center"/>
    </xf>
    <xf numFmtId="0" fontId="156" fillId="2" borderId="19" xfId="0" quotePrefix="1" applyFont="1" applyFill="1" applyBorder="1" applyAlignment="1">
      <alignment horizontal="center" vertical="center"/>
    </xf>
    <xf numFmtId="164" fontId="156" fillId="2" borderId="20" xfId="0" quotePrefix="1" applyNumberFormat="1" applyFont="1" applyFill="1" applyBorder="1" applyAlignment="1">
      <alignment horizontal="center" vertical="center"/>
    </xf>
    <xf numFmtId="164" fontId="156" fillId="2" borderId="24" xfId="0" quotePrefix="1" applyNumberFormat="1" applyFont="1" applyFill="1" applyBorder="1" applyAlignment="1">
      <alignment horizontal="center" vertical="center"/>
    </xf>
    <xf numFmtId="0" fontId="131" fillId="2" borderId="15" xfId="0" applyFont="1" applyFill="1" applyBorder="1" applyAlignment="1">
      <alignment horizontal="right" vertical="center"/>
    </xf>
    <xf numFmtId="0" fontId="168" fillId="6" borderId="25" xfId="1" quotePrefix="1" applyFont="1" applyFill="1" applyBorder="1" applyAlignment="1" applyProtection="1">
      <alignment horizontal="center" vertical="center"/>
    </xf>
    <xf numFmtId="0" fontId="168" fillId="6" borderId="14" xfId="0" applyFont="1" applyFill="1" applyBorder="1" applyAlignment="1">
      <alignment horizontal="center" vertical="center"/>
    </xf>
    <xf numFmtId="0" fontId="168" fillId="6" borderId="26" xfId="0" applyFont="1" applyFill="1" applyBorder="1" applyAlignment="1">
      <alignment horizontal="center" vertical="center"/>
    </xf>
    <xf numFmtId="0" fontId="168" fillId="6" borderId="16" xfId="0" applyFont="1" applyFill="1" applyBorder="1" applyAlignment="1">
      <alignment horizontal="center" vertical="center"/>
    </xf>
    <xf numFmtId="164" fontId="156" fillId="2" borderId="25" xfId="0" quotePrefix="1" applyNumberFormat="1" applyFont="1" applyFill="1" applyBorder="1" applyAlignment="1">
      <alignment horizontal="center" vertical="center"/>
    </xf>
    <xf numFmtId="164" fontId="156" fillId="2" borderId="19" xfId="0" quotePrefix="1" applyNumberFormat="1" applyFont="1" applyFill="1" applyBorder="1" applyAlignment="1">
      <alignment horizontal="center" vertical="center"/>
    </xf>
    <xf numFmtId="164" fontId="156" fillId="2" borderId="22" xfId="0" quotePrefix="1" applyNumberFormat="1" applyFont="1" applyFill="1" applyBorder="1" applyAlignment="1">
      <alignment horizontal="center" vertical="center"/>
    </xf>
    <xf numFmtId="0" fontId="77" fillId="2" borderId="0" xfId="0" applyFont="1" applyFill="1" applyAlignment="1">
      <alignment horizontal="right" vertical="center"/>
    </xf>
    <xf numFmtId="0" fontId="74" fillId="2" borderId="3" xfId="0" applyFont="1" applyFill="1" applyBorder="1" applyAlignment="1">
      <alignment horizontal="center" vertical="center"/>
    </xf>
    <xf numFmtId="164" fontId="80" fillId="2" borderId="3" xfId="0" applyNumberFormat="1" applyFont="1" applyFill="1" applyBorder="1" applyAlignment="1">
      <alignment horizontal="left" vertical="center"/>
    </xf>
    <xf numFmtId="164" fontId="156" fillId="2" borderId="33" xfId="0" quotePrefix="1" applyNumberFormat="1" applyFont="1" applyFill="1" applyBorder="1" applyAlignment="1">
      <alignment horizontal="center" vertical="center"/>
    </xf>
    <xf numFmtId="164" fontId="156" fillId="2" borderId="3" xfId="0" quotePrefix="1" applyNumberFormat="1" applyFont="1" applyFill="1" applyBorder="1" applyAlignment="1">
      <alignment horizontal="center" vertical="center"/>
    </xf>
    <xf numFmtId="0" fontId="75" fillId="2" borderId="0" xfId="0" applyFont="1" applyFill="1" applyAlignment="1">
      <alignment horizontal="center"/>
    </xf>
    <xf numFmtId="0" fontId="82" fillId="2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/>
    </xf>
    <xf numFmtId="0" fontId="82" fillId="2" borderId="14" xfId="0" applyFont="1" applyFill="1" applyBorder="1" applyAlignment="1">
      <alignment horizontal="center" vertical="center"/>
    </xf>
    <xf numFmtId="0" fontId="172" fillId="2" borderId="0" xfId="0" applyFont="1" applyFill="1" applyAlignment="1">
      <alignment horizontal="center" vertical="center"/>
    </xf>
    <xf numFmtId="0" fontId="172" fillId="2" borderId="0" xfId="0" applyFont="1" applyFill="1" applyAlignment="1">
      <alignment horizontal="center"/>
    </xf>
    <xf numFmtId="0" fontId="76" fillId="2" borderId="0" xfId="0" applyFont="1" applyFill="1" applyAlignment="1">
      <alignment horizontal="center"/>
    </xf>
    <xf numFmtId="0" fontId="160" fillId="2" borderId="0" xfId="0" applyFont="1" applyFill="1" applyAlignment="1">
      <alignment horizontal="center"/>
    </xf>
    <xf numFmtId="0" fontId="173" fillId="2" borderId="0" xfId="0" applyFont="1" applyFill="1" applyAlignment="1">
      <alignment horizontal="center" vertical="center"/>
    </xf>
    <xf numFmtId="164" fontId="81" fillId="2" borderId="0" xfId="0" applyNumberFormat="1" applyFont="1" applyFill="1" applyAlignment="1">
      <alignment horizontal="right" vertical="center"/>
    </xf>
    <xf numFmtId="0" fontId="81" fillId="2" borderId="0" xfId="0" applyFont="1" applyFill="1" applyAlignment="1">
      <alignment horizontal="right" vertical="center"/>
    </xf>
    <xf numFmtId="0" fontId="174" fillId="2" borderId="0" xfId="0" applyFont="1" applyFill="1" applyAlignment="1">
      <alignment horizontal="center" vertical="center"/>
    </xf>
    <xf numFmtId="0" fontId="76" fillId="2" borderId="0" xfId="0" applyFont="1" applyFill="1" applyAlignment="1">
      <alignment horizontal="center" vertical="center"/>
    </xf>
    <xf numFmtId="2" fontId="81" fillId="2" borderId="0" xfId="0" applyNumberFormat="1" applyFont="1" applyFill="1" applyAlignment="1">
      <alignment horizontal="right" vertical="center"/>
    </xf>
    <xf numFmtId="0" fontId="174" fillId="2" borderId="0" xfId="0" applyFont="1" applyFill="1" applyAlignment="1">
      <alignment horizontal="right" vertical="center"/>
    </xf>
    <xf numFmtId="0" fontId="96" fillId="2" borderId="0" xfId="0" applyFont="1" applyFill="1" applyAlignment="1">
      <alignment horizontal="left"/>
    </xf>
    <xf numFmtId="0" fontId="81" fillId="2" borderId="0" xfId="0" applyFont="1" applyFill="1" applyAlignment="1">
      <alignment horizontal="left" vertical="center"/>
    </xf>
    <xf numFmtId="0" fontId="174" fillId="2" borderId="0" xfId="0" applyFont="1" applyFill="1" applyAlignment="1">
      <alignment vertical="center"/>
    </xf>
    <xf numFmtId="7" fontId="97" fillId="2" borderId="0" xfId="0" applyNumberFormat="1" applyFont="1" applyFill="1" applyAlignment="1">
      <alignment horizontal="right" vertical="center"/>
    </xf>
    <xf numFmtId="0" fontId="81" fillId="2" borderId="0" xfId="0" applyFont="1" applyFill="1"/>
    <xf numFmtId="0" fontId="96" fillId="2" borderId="0" xfId="0" applyFont="1" applyFill="1" applyAlignment="1">
      <alignment horizontal="center"/>
    </xf>
    <xf numFmtId="0" fontId="74" fillId="2" borderId="0" xfId="0" applyFont="1" applyFill="1" applyAlignment="1">
      <alignment vertical="center"/>
    </xf>
    <xf numFmtId="0" fontId="175" fillId="2" borderId="0" xfId="0" applyFont="1" applyFill="1" applyAlignment="1">
      <alignment horizontal="center"/>
    </xf>
    <xf numFmtId="0" fontId="82" fillId="2" borderId="0" xfId="0" applyFont="1" applyFill="1" applyAlignment="1">
      <alignment horizontal="center"/>
    </xf>
    <xf numFmtId="3" fontId="138" fillId="2" borderId="0" xfId="0" applyNumberFormat="1" applyFont="1" applyFill="1" applyAlignment="1">
      <alignment horizontal="left" vertical="center"/>
    </xf>
    <xf numFmtId="3" fontId="96" fillId="2" borderId="0" xfId="0" applyNumberFormat="1" applyFont="1" applyFill="1" applyAlignment="1">
      <alignment horizontal="left" vertical="center"/>
    </xf>
    <xf numFmtId="164" fontId="81" fillId="2" borderId="0" xfId="0" applyNumberFormat="1" applyFont="1" applyFill="1"/>
    <xf numFmtId="0" fontId="81" fillId="2" borderId="0" xfId="0" applyFont="1" applyFill="1" applyAlignment="1">
      <alignment horizontal="left"/>
    </xf>
    <xf numFmtId="0" fontId="81" fillId="2" borderId="0" xfId="0" applyFont="1" applyFill="1" applyAlignment="1">
      <alignment vertical="center"/>
    </xf>
    <xf numFmtId="4" fontId="81" fillId="2" borderId="0" xfId="0" applyNumberFormat="1" applyFont="1" applyFill="1" applyAlignment="1">
      <alignment horizontal="right" vertical="center"/>
    </xf>
    <xf numFmtId="4" fontId="96" fillId="2" borderId="0" xfId="0" applyNumberFormat="1" applyFont="1" applyFill="1" applyAlignment="1">
      <alignment horizontal="center" vertical="center"/>
    </xf>
    <xf numFmtId="164" fontId="96" fillId="2" borderId="0" xfId="0" applyNumberFormat="1" applyFont="1" applyFill="1" applyAlignment="1">
      <alignment horizontal="center" vertical="center"/>
    </xf>
    <xf numFmtId="0" fontId="81" fillId="2" borderId="0" xfId="0" applyFont="1" applyFill="1" applyAlignment="1">
      <alignment horizontal="right"/>
    </xf>
    <xf numFmtId="0" fontId="74" fillId="2" borderId="0" xfId="0" applyFont="1" applyFill="1"/>
    <xf numFmtId="4" fontId="96" fillId="2" borderId="0" xfId="0" applyNumberFormat="1" applyFont="1" applyFill="1" applyAlignment="1">
      <alignment horizontal="left" vertical="center"/>
    </xf>
    <xf numFmtId="0" fontId="96" fillId="2" borderId="0" xfId="0" applyFont="1" applyFill="1" applyAlignment="1">
      <alignment horizontal="center" vertical="center"/>
    </xf>
    <xf numFmtId="164" fontId="174" fillId="2" borderId="0" xfId="0" applyNumberFormat="1" applyFont="1" applyFill="1" applyAlignment="1">
      <alignment horizontal="center" vertical="center"/>
    </xf>
    <xf numFmtId="164" fontId="96" fillId="2" borderId="0" xfId="0" applyNumberFormat="1" applyFont="1" applyFill="1" applyAlignment="1">
      <alignment horizontal="right"/>
    </xf>
    <xf numFmtId="4" fontId="96" fillId="2" borderId="0" xfId="0" applyNumberFormat="1" applyFont="1" applyFill="1" applyAlignment="1">
      <alignment horizontal="right"/>
    </xf>
    <xf numFmtId="164" fontId="96" fillId="2" borderId="0" xfId="0" applyNumberFormat="1" applyFont="1" applyFill="1" applyAlignment="1">
      <alignment horizontal="left" vertical="center"/>
    </xf>
    <xf numFmtId="4" fontId="96" fillId="2" borderId="0" xfId="0" applyNumberFormat="1" applyFont="1" applyFill="1" applyAlignment="1">
      <alignment horizontal="left"/>
    </xf>
    <xf numFmtId="3" fontId="81" fillId="2" borderId="0" xfId="0" applyNumberFormat="1" applyFont="1" applyFill="1"/>
    <xf numFmtId="4" fontId="96" fillId="2" borderId="0" xfId="0" applyNumberFormat="1" applyFont="1" applyFill="1"/>
    <xf numFmtId="0" fontId="19" fillId="2" borderId="0" xfId="5" applyFont="1" applyFill="1"/>
    <xf numFmtId="0" fontId="14" fillId="2" borderId="0" xfId="5" applyFill="1"/>
    <xf numFmtId="0" fontId="14" fillId="0" borderId="0" xfId="5"/>
    <xf numFmtId="0" fontId="176" fillId="2" borderId="0" xfId="5" applyFont="1" applyFill="1" applyAlignment="1">
      <alignment horizontal="center"/>
    </xf>
    <xf numFmtId="0" fontId="78" fillId="2" borderId="0" xfId="5" applyFont="1" applyFill="1" applyAlignment="1">
      <alignment horizontal="center" vertical="top"/>
    </xf>
    <xf numFmtId="0" fontId="152" fillId="2" borderId="4" xfId="5" applyFont="1" applyFill="1" applyBorder="1" applyAlignment="1">
      <alignment horizontal="left" vertical="center"/>
    </xf>
    <xf numFmtId="0" fontId="101" fillId="4" borderId="58" xfId="5" applyFont="1" applyFill="1" applyBorder="1" applyAlignment="1">
      <alignment horizontal="center" vertical="center"/>
    </xf>
    <xf numFmtId="0" fontId="101" fillId="17" borderId="58" xfId="5" applyFont="1" applyFill="1" applyBorder="1" applyAlignment="1">
      <alignment horizontal="center" vertical="center"/>
    </xf>
    <xf numFmtId="0" fontId="178" fillId="2" borderId="0" xfId="5" applyFont="1" applyFill="1" applyAlignment="1">
      <alignment horizontal="center" vertical="center"/>
    </xf>
    <xf numFmtId="0" fontId="178" fillId="2" borderId="3" xfId="5" applyFont="1" applyFill="1" applyBorder="1" applyAlignment="1">
      <alignment horizontal="center" vertical="center"/>
    </xf>
    <xf numFmtId="0" fontId="177" fillId="2" borderId="14" xfId="5" applyFont="1" applyFill="1" applyBorder="1" applyAlignment="1">
      <alignment horizontal="center" vertical="top"/>
    </xf>
    <xf numFmtId="0" fontId="177" fillId="2" borderId="4" xfId="5" applyFont="1" applyFill="1" applyBorder="1" applyAlignment="1">
      <alignment horizontal="center" vertical="top"/>
    </xf>
    <xf numFmtId="0" fontId="178" fillId="2" borderId="4" xfId="5" applyFont="1" applyFill="1" applyBorder="1" applyAlignment="1">
      <alignment horizontal="center" vertical="center"/>
    </xf>
    <xf numFmtId="0" fontId="178" fillId="2" borderId="15" xfId="5" applyFont="1" applyFill="1" applyBorder="1" applyAlignment="1">
      <alignment horizontal="center" vertical="center"/>
    </xf>
    <xf numFmtId="0" fontId="177" fillId="12" borderId="14" xfId="5" applyFont="1" applyFill="1" applyBorder="1" applyAlignment="1">
      <alignment horizontal="center" vertical="center"/>
    </xf>
    <xf numFmtId="0" fontId="177" fillId="12" borderId="4" xfId="5" applyFont="1" applyFill="1" applyBorder="1" applyAlignment="1">
      <alignment horizontal="center" vertical="center"/>
    </xf>
    <xf numFmtId="0" fontId="177" fillId="12" borderId="15" xfId="5" applyFont="1" applyFill="1" applyBorder="1" applyAlignment="1">
      <alignment horizontal="center" vertical="center"/>
    </xf>
    <xf numFmtId="0" fontId="179" fillId="2" borderId="34" xfId="5" applyFont="1" applyFill="1" applyBorder="1" applyAlignment="1">
      <alignment horizontal="center" vertical="center"/>
    </xf>
    <xf numFmtId="0" fontId="177" fillId="2" borderId="2" xfId="5" applyFont="1" applyFill="1" applyBorder="1" applyAlignment="1">
      <alignment horizontal="center" vertical="top"/>
    </xf>
    <xf numFmtId="0" fontId="177" fillId="2" borderId="0" xfId="5" applyFont="1" applyFill="1" applyAlignment="1">
      <alignment horizontal="center" vertical="top"/>
    </xf>
    <xf numFmtId="0" fontId="178" fillId="2" borderId="39" xfId="5" applyFont="1" applyFill="1" applyBorder="1" applyAlignment="1">
      <alignment horizontal="center" vertical="center"/>
    </xf>
    <xf numFmtId="0" fontId="182" fillId="2" borderId="0" xfId="5" applyFont="1" applyFill="1" applyAlignment="1">
      <alignment horizontal="center" vertical="center"/>
    </xf>
    <xf numFmtId="0" fontId="182" fillId="2" borderId="3" xfId="5" applyFont="1" applyFill="1" applyBorder="1" applyAlignment="1">
      <alignment horizontal="center" vertical="center"/>
    </xf>
    <xf numFmtId="0" fontId="181" fillId="2" borderId="2" xfId="5" applyFont="1" applyFill="1" applyBorder="1" applyAlignment="1">
      <alignment horizontal="center" vertical="center"/>
    </xf>
    <xf numFmtId="0" fontId="181" fillId="2" borderId="0" xfId="5" applyFont="1" applyFill="1" applyAlignment="1">
      <alignment horizontal="center" vertical="center"/>
    </xf>
    <xf numFmtId="0" fontId="179" fillId="2" borderId="58" xfId="5" applyFont="1" applyFill="1" applyBorder="1" applyAlignment="1">
      <alignment horizontal="center" vertical="center"/>
    </xf>
    <xf numFmtId="164" fontId="45" fillId="2" borderId="0" xfId="5" applyNumberFormat="1" applyFont="1" applyFill="1" applyAlignment="1">
      <alignment horizontal="center" vertical="center"/>
    </xf>
    <xf numFmtId="164" fontId="45" fillId="2" borderId="3" xfId="5" applyNumberFormat="1" applyFont="1" applyFill="1" applyBorder="1" applyAlignment="1">
      <alignment horizontal="center" vertical="center"/>
    </xf>
    <xf numFmtId="0" fontId="180" fillId="2" borderId="0" xfId="5" applyFont="1" applyFill="1" applyAlignment="1">
      <alignment horizontal="center" vertical="center"/>
    </xf>
    <xf numFmtId="0" fontId="180" fillId="2" borderId="3" xfId="5" applyFont="1" applyFill="1" applyBorder="1" applyAlignment="1">
      <alignment horizontal="center" vertical="center"/>
    </xf>
    <xf numFmtId="0" fontId="180" fillId="2" borderId="3" xfId="5" applyFont="1" applyFill="1" applyBorder="1" applyAlignment="1">
      <alignment horizontal="right" vertical="center"/>
    </xf>
    <xf numFmtId="0" fontId="180" fillId="2" borderId="15" xfId="5" applyFont="1" applyFill="1" applyBorder="1" applyAlignment="1">
      <alignment horizontal="center" vertical="center"/>
    </xf>
    <xf numFmtId="0" fontId="19" fillId="0" borderId="0" xfId="5" applyFont="1"/>
    <xf numFmtId="0" fontId="188" fillId="2" borderId="2" xfId="5" applyFont="1" applyFill="1" applyBorder="1" applyAlignment="1">
      <alignment horizontal="center" vertical="center"/>
    </xf>
    <xf numFmtId="0" fontId="188" fillId="2" borderId="38" xfId="5" applyFont="1" applyFill="1" applyBorder="1" applyAlignment="1">
      <alignment horizontal="center" vertical="center"/>
    </xf>
    <xf numFmtId="0" fontId="188" fillId="2" borderId="12" xfId="5" applyFont="1" applyFill="1" applyBorder="1" applyAlignment="1">
      <alignment horizontal="center" vertical="center"/>
    </xf>
    <xf numFmtId="0" fontId="188" fillId="2" borderId="58" xfId="5" applyFont="1" applyFill="1" applyBorder="1" applyAlignment="1">
      <alignment horizontal="center" vertical="center"/>
    </xf>
    <xf numFmtId="0" fontId="188" fillId="2" borderId="5" xfId="5" applyFont="1" applyFill="1" applyBorder="1" applyAlignment="1">
      <alignment horizontal="center" vertical="center"/>
    </xf>
    <xf numFmtId="0" fontId="178" fillId="2" borderId="5" xfId="5" applyFont="1" applyFill="1" applyBorder="1" applyAlignment="1">
      <alignment horizontal="center" vertical="center"/>
    </xf>
    <xf numFmtId="0" fontId="178" fillId="2" borderId="6" xfId="5" applyFont="1" applyFill="1" applyBorder="1" applyAlignment="1">
      <alignment horizontal="center" vertical="center"/>
    </xf>
    <xf numFmtId="0" fontId="178" fillId="2" borderId="7" xfId="5" applyFont="1" applyFill="1" applyBorder="1" applyAlignment="1">
      <alignment horizontal="center" vertical="center"/>
    </xf>
    <xf numFmtId="0" fontId="188" fillId="2" borderId="34" xfId="5" applyFont="1" applyFill="1" applyBorder="1" applyAlignment="1">
      <alignment horizontal="center" vertical="center"/>
    </xf>
    <xf numFmtId="164" fontId="45" fillId="2" borderId="0" xfId="5" applyNumberFormat="1" applyFont="1" applyFill="1" applyAlignment="1">
      <alignment horizontal="right" vertical="center"/>
    </xf>
    <xf numFmtId="164" fontId="45" fillId="2" borderId="3" xfId="5" applyNumberFormat="1" applyFont="1" applyFill="1" applyBorder="1" applyAlignment="1">
      <alignment horizontal="right" vertical="center"/>
    </xf>
    <xf numFmtId="0" fontId="182" fillId="6" borderId="29" xfId="0" applyFont="1" applyFill="1" applyBorder="1" applyAlignment="1">
      <alignment horizontal="center" vertical="center"/>
    </xf>
    <xf numFmtId="0" fontId="182" fillId="6" borderId="59" xfId="0" applyFont="1" applyFill="1" applyBorder="1" applyAlignment="1">
      <alignment horizontal="center" vertical="center"/>
    </xf>
    <xf numFmtId="0" fontId="182" fillId="6" borderId="12" xfId="0" applyFont="1" applyFill="1" applyBorder="1" applyAlignment="1">
      <alignment horizontal="center" vertical="center"/>
    </xf>
    <xf numFmtId="0" fontId="14" fillId="0" borderId="3" xfId="5" applyBorder="1"/>
    <xf numFmtId="0" fontId="191" fillId="2" borderId="0" xfId="0" applyFont="1" applyFill="1" applyAlignment="1">
      <alignment horizontal="center" vertical="center"/>
    </xf>
    <xf numFmtId="0" fontId="182" fillId="2" borderId="0" xfId="0" applyFont="1" applyFill="1" applyAlignment="1">
      <alignment horizontal="center" vertical="center"/>
    </xf>
    <xf numFmtId="0" fontId="182" fillId="6" borderId="61" xfId="0" applyFont="1" applyFill="1" applyBorder="1" applyAlignment="1">
      <alignment horizontal="center" vertical="center"/>
    </xf>
    <xf numFmtId="0" fontId="182" fillId="6" borderId="37" xfId="0" applyFont="1" applyFill="1" applyBorder="1" applyAlignment="1">
      <alignment horizontal="center" vertical="center"/>
    </xf>
    <xf numFmtId="0" fontId="182" fillId="6" borderId="64" xfId="0" applyFont="1" applyFill="1" applyBorder="1" applyAlignment="1">
      <alignment horizontal="center" vertical="center"/>
    </xf>
    <xf numFmtId="0" fontId="181" fillId="2" borderId="4" xfId="5" applyFont="1" applyFill="1" applyBorder="1" applyAlignment="1">
      <alignment horizontal="center" vertical="center"/>
    </xf>
    <xf numFmtId="0" fontId="182" fillId="2" borderId="56" xfId="0" applyFont="1" applyFill="1" applyBorder="1" applyAlignment="1">
      <alignment horizontal="center" vertical="center"/>
    </xf>
    <xf numFmtId="0" fontId="184" fillId="2" borderId="0" xfId="0" applyFont="1" applyFill="1" applyAlignment="1">
      <alignment horizontal="center" vertical="center"/>
    </xf>
    <xf numFmtId="0" fontId="136" fillId="2" borderId="12" xfId="5" applyFont="1" applyFill="1" applyBorder="1" applyAlignment="1">
      <alignment horizontal="center" vertical="center"/>
    </xf>
    <xf numFmtId="0" fontId="136" fillId="2" borderId="1" xfId="5" applyFont="1" applyFill="1" applyBorder="1" applyAlignment="1">
      <alignment horizontal="center" vertical="center"/>
    </xf>
    <xf numFmtId="0" fontId="136" fillId="2" borderId="0" xfId="5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78" fillId="6" borderId="34" xfId="0" applyFont="1" applyFill="1" applyBorder="1" applyAlignment="1">
      <alignment horizontal="center" vertical="center"/>
    </xf>
    <xf numFmtId="0" fontId="184" fillId="2" borderId="1" xfId="0" applyFont="1" applyFill="1" applyBorder="1" applyAlignment="1">
      <alignment horizontal="center" vertical="center"/>
    </xf>
    <xf numFmtId="0" fontId="45" fillId="2" borderId="0" xfId="5" applyFont="1" applyFill="1" applyAlignment="1">
      <alignment horizontal="center" vertical="center"/>
    </xf>
    <xf numFmtId="164" fontId="45" fillId="2" borderId="13" xfId="5" applyNumberFormat="1" applyFont="1" applyFill="1" applyBorder="1" applyAlignment="1">
      <alignment horizontal="right" vertical="center"/>
    </xf>
    <xf numFmtId="0" fontId="78" fillId="2" borderId="6" xfId="5" applyFont="1" applyFill="1" applyBorder="1" applyAlignment="1">
      <alignment horizontal="center" vertical="top"/>
    </xf>
    <xf numFmtId="0" fontId="13" fillId="2" borderId="0" xfId="0" applyFont="1" applyFill="1"/>
    <xf numFmtId="0" fontId="85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left" vertical="center"/>
    </xf>
    <xf numFmtId="0" fontId="171" fillId="2" borderId="0" xfId="0" applyFont="1" applyFill="1" applyAlignment="1">
      <alignment horizontal="right" vertical="center"/>
    </xf>
    <xf numFmtId="0" fontId="38" fillId="2" borderId="0" xfId="0" applyFont="1" applyFill="1" applyAlignment="1">
      <alignment horizontal="center" vertical="center"/>
    </xf>
    <xf numFmtId="0" fontId="194" fillId="15" borderId="34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1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120" fillId="2" borderId="0" xfId="1" applyFont="1" applyFill="1" applyBorder="1" applyAlignment="1" applyProtection="1">
      <alignment horizontal="center" vertical="center"/>
    </xf>
    <xf numFmtId="0" fontId="199" fillId="2" borderId="0" xfId="0" applyFont="1" applyFill="1" applyAlignment="1">
      <alignment horizontal="center" vertical="center"/>
    </xf>
    <xf numFmtId="0" fontId="200" fillId="2" borderId="0" xfId="0" quotePrefix="1" applyFont="1" applyFill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201" fillId="2" borderId="0" xfId="0" applyFont="1" applyFill="1" applyAlignment="1">
      <alignment horizontal="left" vertical="center"/>
    </xf>
    <xf numFmtId="0" fontId="203" fillId="2" borderId="0" xfId="0" applyFont="1" applyFill="1" applyAlignment="1">
      <alignment horizontal="right"/>
    </xf>
    <xf numFmtId="0" fontId="203" fillId="2" borderId="0" xfId="0" applyFont="1" applyFill="1"/>
    <xf numFmtId="0" fontId="203" fillId="0" borderId="0" xfId="0" applyFont="1"/>
    <xf numFmtId="0" fontId="171" fillId="2" borderId="38" xfId="0" applyFont="1" applyFill="1" applyBorder="1" applyAlignment="1">
      <alignment horizontal="right" vertical="center"/>
    </xf>
    <xf numFmtId="0" fontId="171" fillId="3" borderId="70" xfId="0" applyFont="1" applyFill="1" applyBorder="1" applyAlignment="1">
      <alignment horizontal="right" vertical="center"/>
    </xf>
    <xf numFmtId="0" fontId="96" fillId="2" borderId="0" xfId="5" applyFont="1" applyFill="1"/>
    <xf numFmtId="0" fontId="74" fillId="2" borderId="0" xfId="5" applyFont="1" applyFill="1" applyAlignment="1">
      <alignment horizontal="right"/>
    </xf>
    <xf numFmtId="0" fontId="96" fillId="2" borderId="0" xfId="5" applyFont="1" applyFill="1" applyAlignment="1">
      <alignment horizontal="center"/>
    </xf>
    <xf numFmtId="0" fontId="175" fillId="2" borderId="0" xfId="5" applyFont="1" applyFill="1" applyAlignment="1">
      <alignment horizontal="center"/>
    </xf>
    <xf numFmtId="0" fontId="96" fillId="0" borderId="0" xfId="5" applyFont="1"/>
    <xf numFmtId="165" fontId="96" fillId="2" borderId="0" xfId="5" applyNumberFormat="1" applyFont="1" applyFill="1"/>
    <xf numFmtId="0" fontId="96" fillId="2" borderId="0" xfId="5" applyFont="1" applyFill="1" applyAlignment="1">
      <alignment horizontal="center" vertical="center"/>
    </xf>
    <xf numFmtId="0" fontId="74" fillId="2" borderId="0" xfId="0" applyFont="1" applyFill="1" applyAlignment="1">
      <alignment horizontal="left"/>
    </xf>
    <xf numFmtId="164" fontId="96" fillId="2" borderId="0" xfId="0" applyNumberFormat="1" applyFont="1" applyFill="1"/>
    <xf numFmtId="0" fontId="132" fillId="2" borderId="0" xfId="0" applyFont="1" applyFill="1" applyAlignment="1">
      <alignment horizontal="center" vertical="top"/>
    </xf>
    <xf numFmtId="0" fontId="39" fillId="2" borderId="0" xfId="0" quotePrefix="1" applyFont="1" applyFill="1" applyAlignment="1">
      <alignment horizontal="left" vertical="center"/>
    </xf>
    <xf numFmtId="0" fontId="196" fillId="2" borderId="0" xfId="0" quotePrefix="1" applyFont="1" applyFill="1" applyAlignment="1">
      <alignment horizontal="left" vertical="center"/>
    </xf>
    <xf numFmtId="0" fontId="195" fillId="2" borderId="0" xfId="0" applyFont="1" applyFill="1" applyAlignment="1">
      <alignment horizontal="left" vertical="center"/>
    </xf>
    <xf numFmtId="0" fontId="199" fillId="2" borderId="0" xfId="0" quotePrefix="1" applyFont="1" applyFill="1" applyAlignment="1">
      <alignment horizontal="left" vertical="center"/>
    </xf>
    <xf numFmtId="0" fontId="204" fillId="0" borderId="3" xfId="0" applyFont="1" applyBorder="1" applyAlignment="1">
      <alignment horizontal="left"/>
    </xf>
    <xf numFmtId="0" fontId="22" fillId="2" borderId="0" xfId="0" applyFont="1" applyFill="1" applyAlignment="1">
      <alignment horizontal="left" vertical="center"/>
    </xf>
    <xf numFmtId="164" fontId="25" fillId="2" borderId="0" xfId="0" applyNumberFormat="1" applyFont="1" applyFill="1" applyAlignment="1">
      <alignment horizontal="right"/>
    </xf>
    <xf numFmtId="164" fontId="25" fillId="2" borderId="3" xfId="0" applyNumberFormat="1" applyFont="1" applyFill="1" applyBorder="1" applyAlignment="1">
      <alignment horizontal="right"/>
    </xf>
    <xf numFmtId="0" fontId="206" fillId="2" borderId="0" xfId="0" applyFont="1" applyFill="1" applyAlignment="1">
      <alignment horizontal="right" vertical="center"/>
    </xf>
    <xf numFmtId="164" fontId="207" fillId="2" borderId="0" xfId="0" applyNumberFormat="1" applyFont="1" applyFill="1" applyAlignment="1">
      <alignment horizontal="left" vertical="center"/>
    </xf>
    <xf numFmtId="164" fontId="138" fillId="2" borderId="0" xfId="0" applyNumberFormat="1" applyFont="1" applyFill="1" applyAlignment="1">
      <alignment horizontal="left" vertical="center"/>
    </xf>
    <xf numFmtId="0" fontId="138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center" vertical="center"/>
    </xf>
    <xf numFmtId="0" fontId="213" fillId="2" borderId="0" xfId="0" applyFont="1" applyFill="1" applyAlignment="1">
      <alignment vertical="center"/>
    </xf>
    <xf numFmtId="0" fontId="215" fillId="2" borderId="0" xfId="0" applyFont="1" applyFill="1" applyAlignment="1">
      <alignment vertical="center"/>
    </xf>
    <xf numFmtId="0" fontId="198" fillId="2" borderId="0" xfId="0" quotePrefix="1" applyFont="1" applyFill="1" applyAlignment="1">
      <alignment horizontal="left" vertical="center"/>
    </xf>
    <xf numFmtId="0" fontId="197" fillId="2" borderId="0" xfId="0" applyFont="1" applyFill="1"/>
    <xf numFmtId="0" fontId="197" fillId="2" borderId="0" xfId="0" applyFont="1" applyFill="1" applyAlignment="1">
      <alignment vertical="center"/>
    </xf>
    <xf numFmtId="0" fontId="202" fillId="2" borderId="0" xfId="0" applyFont="1" applyFill="1" applyAlignment="1">
      <alignment horizontal="right" vertical="center"/>
    </xf>
    <xf numFmtId="0" fontId="24" fillId="2" borderId="0" xfId="0" quotePrefix="1" applyFont="1" applyFill="1" applyAlignment="1">
      <alignment horizontal="left" vertical="center"/>
    </xf>
    <xf numFmtId="0" fontId="24" fillId="2" borderId="0" xfId="0" quotePrefix="1" applyFont="1" applyFill="1" applyAlignment="1">
      <alignment horizontal="right" vertical="center"/>
    </xf>
    <xf numFmtId="0" fontId="209" fillId="2" borderId="0" xfId="0" quotePrefix="1" applyFont="1" applyFill="1" applyAlignment="1">
      <alignment horizontal="left" vertical="center"/>
    </xf>
    <xf numFmtId="0" fontId="211" fillId="2" borderId="0" xfId="0" quotePrefix="1" applyFont="1" applyFill="1" applyAlignment="1">
      <alignment horizontal="left" vertical="center"/>
    </xf>
    <xf numFmtId="0" fontId="214" fillId="2" borderId="0" xfId="0" quotePrefix="1" applyFont="1" applyFill="1" applyAlignment="1">
      <alignment horizontal="left" vertical="center"/>
    </xf>
    <xf numFmtId="0" fontId="202" fillId="2" borderId="0" xfId="0" applyFont="1" applyFill="1" applyAlignment="1">
      <alignment horizontal="left" vertical="center"/>
    </xf>
    <xf numFmtId="0" fontId="212" fillId="2" borderId="0" xfId="0" quotePrefix="1" applyFont="1" applyFill="1" applyAlignment="1">
      <alignment horizontal="left" vertical="center"/>
    </xf>
    <xf numFmtId="0" fontId="217" fillId="2" borderId="0" xfId="0" applyFont="1" applyFill="1" applyAlignment="1">
      <alignment horizontal="left" vertical="center"/>
    </xf>
    <xf numFmtId="0" fontId="218" fillId="2" borderId="0" xfId="0" applyFont="1" applyFill="1" applyAlignment="1">
      <alignment horizontal="center" vertical="center"/>
    </xf>
    <xf numFmtId="0" fontId="21" fillId="2" borderId="0" xfId="0" quotePrefix="1" applyFont="1" applyFill="1" applyAlignment="1">
      <alignment horizontal="left" vertical="center"/>
    </xf>
    <xf numFmtId="0" fontId="219" fillId="2" borderId="0" xfId="0" quotePrefix="1" applyFont="1" applyFill="1"/>
    <xf numFmtId="0" fontId="214" fillId="2" borderId="0" xfId="0" quotePrefix="1" applyFont="1" applyFill="1"/>
    <xf numFmtId="0" fontId="221" fillId="2" borderId="0" xfId="0" quotePrefix="1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22" fillId="2" borderId="0" xfId="0" applyFont="1" applyFill="1" applyAlignment="1">
      <alignment horizontal="center" vertical="center"/>
    </xf>
    <xf numFmtId="164" fontId="153" fillId="2" borderId="0" xfId="0" applyNumberFormat="1" applyFont="1" applyFill="1" applyAlignment="1">
      <alignment horizontal="right" vertical="center"/>
    </xf>
    <xf numFmtId="0" fontId="249" fillId="10" borderId="60" xfId="0" applyFont="1" applyFill="1" applyBorder="1"/>
    <xf numFmtId="0" fontId="250" fillId="10" borderId="26" xfId="0" applyFont="1" applyFill="1" applyBorder="1"/>
    <xf numFmtId="0" fontId="92" fillId="14" borderId="74" xfId="0" applyFont="1" applyFill="1" applyBorder="1" applyAlignment="1">
      <alignment horizontal="right" vertical="center"/>
    </xf>
    <xf numFmtId="0" fontId="92" fillId="14" borderId="85" xfId="0" applyFont="1" applyFill="1" applyBorder="1" applyAlignment="1">
      <alignment horizontal="right" vertical="center"/>
    </xf>
    <xf numFmtId="4" fontId="81" fillId="2" borderId="0" xfId="0" applyNumberFormat="1" applyFont="1" applyFill="1" applyAlignment="1">
      <alignment horizontal="center" vertical="center"/>
    </xf>
    <xf numFmtId="4" fontId="116" fillId="2" borderId="0" xfId="0" applyNumberFormat="1" applyFont="1" applyFill="1" applyAlignment="1">
      <alignment horizontal="center" vertical="center"/>
    </xf>
    <xf numFmtId="0" fontId="74" fillId="2" borderId="0" xfId="0" applyFont="1" applyFill="1" applyAlignment="1">
      <alignment horizontal="left" vertical="center"/>
    </xf>
    <xf numFmtId="164" fontId="252" fillId="2" borderId="0" xfId="0" applyNumberFormat="1" applyFont="1" applyFill="1" applyAlignment="1">
      <alignment horizontal="left" vertical="center"/>
    </xf>
    <xf numFmtId="0" fontId="253" fillId="2" borderId="0" xfId="0" applyFont="1" applyFill="1" applyAlignment="1">
      <alignment horizontal="left" vertical="center"/>
    </xf>
    <xf numFmtId="2" fontId="96" fillId="2" borderId="0" xfId="0" applyNumberFormat="1" applyFont="1" applyFill="1"/>
    <xf numFmtId="0" fontId="186" fillId="3" borderId="48" xfId="5" applyFont="1" applyFill="1" applyBorder="1" applyAlignment="1">
      <alignment horizontal="center" vertical="center"/>
    </xf>
    <xf numFmtId="0" fontId="187" fillId="3" borderId="48" xfId="5" applyFont="1" applyFill="1" applyBorder="1" applyAlignment="1">
      <alignment horizontal="center" vertical="center"/>
    </xf>
    <xf numFmtId="164" fontId="45" fillId="2" borderId="3" xfId="0" applyNumberFormat="1" applyFont="1" applyFill="1" applyBorder="1" applyAlignment="1">
      <alignment horizontal="right" vertical="center"/>
    </xf>
    <xf numFmtId="164" fontId="45" fillId="2" borderId="0" xfId="0" applyNumberFormat="1" applyFont="1" applyFill="1" applyAlignment="1">
      <alignment horizontal="right" vertical="center"/>
    </xf>
    <xf numFmtId="0" fontId="182" fillId="6" borderId="19" xfId="0" applyFont="1" applyFill="1" applyBorder="1" applyAlignment="1">
      <alignment horizontal="center" vertical="center"/>
    </xf>
    <xf numFmtId="0" fontId="182" fillId="6" borderId="32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182" fillId="6" borderId="30" xfId="0" applyFont="1" applyFill="1" applyBorder="1" applyAlignment="1">
      <alignment horizontal="center" vertical="center"/>
    </xf>
    <xf numFmtId="0" fontId="182" fillId="6" borderId="82" xfId="0" applyFont="1" applyFill="1" applyBorder="1" applyAlignment="1">
      <alignment horizontal="center" vertical="center"/>
    </xf>
    <xf numFmtId="0" fontId="182" fillId="6" borderId="92" xfId="5" applyFont="1" applyFill="1" applyBorder="1" applyAlignment="1">
      <alignment horizontal="center" vertical="center"/>
    </xf>
    <xf numFmtId="164" fontId="45" fillId="2" borderId="101" xfId="0" applyNumberFormat="1" applyFont="1" applyFill="1" applyBorder="1" applyAlignment="1">
      <alignment horizontal="right" vertical="center"/>
    </xf>
    <xf numFmtId="0" fontId="82" fillId="2" borderId="106" xfId="0" applyFont="1" applyFill="1" applyBorder="1" applyAlignment="1">
      <alignment horizontal="center" vertical="center"/>
    </xf>
    <xf numFmtId="0" fontId="78" fillId="2" borderId="106" xfId="0" applyFont="1" applyFill="1" applyBorder="1" applyAlignment="1">
      <alignment horizontal="center" vertical="center"/>
    </xf>
    <xf numFmtId="0" fontId="45" fillId="2" borderId="105" xfId="0" applyFont="1" applyFill="1" applyBorder="1" applyAlignment="1">
      <alignment horizontal="right" vertical="center"/>
    </xf>
    <xf numFmtId="164" fontId="45" fillId="2" borderId="106" xfId="5" applyNumberFormat="1" applyFont="1" applyFill="1" applyBorder="1" applyAlignment="1">
      <alignment horizontal="right" vertical="center"/>
    </xf>
    <xf numFmtId="0" fontId="182" fillId="2" borderId="100" xfId="5" applyFont="1" applyFill="1" applyBorder="1" applyAlignment="1">
      <alignment horizontal="center" vertical="center"/>
    </xf>
    <xf numFmtId="0" fontId="182" fillId="2" borderId="2" xfId="5" applyFont="1" applyFill="1" applyBorder="1" applyAlignment="1">
      <alignment horizontal="center" vertical="center"/>
    </xf>
    <xf numFmtId="164" fontId="96" fillId="2" borderId="0" xfId="5" applyNumberFormat="1" applyFont="1" applyFill="1" applyAlignment="1">
      <alignment horizontal="center" vertical="center"/>
    </xf>
    <xf numFmtId="164" fontId="96" fillId="2" borderId="0" xfId="5" applyNumberFormat="1" applyFont="1" applyFill="1" applyAlignment="1">
      <alignment horizontal="left" vertical="center"/>
    </xf>
    <xf numFmtId="3" fontId="96" fillId="2" borderId="0" xfId="0" applyNumberFormat="1" applyFont="1" applyFill="1" applyAlignment="1">
      <alignment horizontal="center"/>
    </xf>
    <xf numFmtId="3" fontId="96" fillId="2" borderId="0" xfId="0" applyNumberFormat="1" applyFont="1" applyFill="1"/>
    <xf numFmtId="0" fontId="78" fillId="2" borderId="0" xfId="0" applyFont="1" applyFill="1" applyAlignment="1">
      <alignment horizontal="center" vertical="center"/>
    </xf>
    <xf numFmtId="0" fontId="182" fillId="6" borderId="61" xfId="5" applyFont="1" applyFill="1" applyBorder="1" applyAlignment="1">
      <alignment horizontal="center" vertical="center"/>
    </xf>
    <xf numFmtId="0" fontId="182" fillId="6" borderId="37" xfId="5" applyFont="1" applyFill="1" applyBorder="1" applyAlignment="1">
      <alignment horizontal="center" vertical="center"/>
    </xf>
    <xf numFmtId="0" fontId="182" fillId="6" borderId="20" xfId="5" applyFont="1" applyFill="1" applyBorder="1" applyAlignment="1">
      <alignment horizontal="center" vertical="center"/>
    </xf>
    <xf numFmtId="0" fontId="14" fillId="2" borderId="105" xfId="5" applyFill="1" applyBorder="1"/>
    <xf numFmtId="0" fontId="205" fillId="2" borderId="0" xfId="0" applyFont="1" applyFill="1" applyAlignment="1">
      <alignment horizontal="center" vertical="center"/>
    </xf>
    <xf numFmtId="0" fontId="205" fillId="2" borderId="106" xfId="0" applyFont="1" applyFill="1" applyBorder="1" applyAlignment="1">
      <alignment horizontal="center" vertical="center"/>
    </xf>
    <xf numFmtId="0" fontId="208" fillId="2" borderId="0" xfId="0" applyFont="1" applyFill="1" applyAlignment="1">
      <alignment horizontal="center" vertical="center"/>
    </xf>
    <xf numFmtId="0" fontId="179" fillId="2" borderId="100" xfId="5" applyFont="1" applyFill="1" applyBorder="1" applyAlignment="1">
      <alignment horizontal="center" vertical="center"/>
    </xf>
    <xf numFmtId="0" fontId="178" fillId="2" borderId="101" xfId="5" applyFont="1" applyFill="1" applyBorder="1" applyAlignment="1">
      <alignment horizontal="center" vertical="center"/>
    </xf>
    <xf numFmtId="0" fontId="179" fillId="2" borderId="102" xfId="5" applyFont="1" applyFill="1" applyBorder="1" applyAlignment="1">
      <alignment horizontal="center" vertical="center"/>
    </xf>
    <xf numFmtId="0" fontId="101" fillId="2" borderId="105" xfId="4" applyFont="1" applyFill="1" applyBorder="1" applyAlignment="1">
      <alignment horizontal="center" vertical="center"/>
    </xf>
    <xf numFmtId="0" fontId="210" fillId="2" borderId="0" xfId="0" applyFont="1" applyFill="1"/>
    <xf numFmtId="0" fontId="210" fillId="2" borderId="0" xfId="4" applyFont="1" applyFill="1" applyAlignment="1">
      <alignment vertical="center"/>
    </xf>
    <xf numFmtId="0" fontId="210" fillId="2" borderId="0" xfId="4" applyFont="1" applyFill="1" applyAlignment="1">
      <alignment horizontal="center" vertical="center"/>
    </xf>
    <xf numFmtId="4" fontId="265" fillId="2" borderId="0" xfId="4" applyNumberFormat="1" applyFont="1" applyFill="1" applyAlignment="1">
      <alignment vertical="center"/>
    </xf>
    <xf numFmtId="0" fontId="210" fillId="0" borderId="0" xfId="0" applyFont="1"/>
    <xf numFmtId="0" fontId="9" fillId="0" borderId="0" xfId="0" applyFont="1"/>
    <xf numFmtId="0" fontId="19" fillId="0" borderId="0" xfId="0" applyFont="1"/>
    <xf numFmtId="164" fontId="0" fillId="0" borderId="0" xfId="0" applyNumberFormat="1"/>
    <xf numFmtId="0" fontId="230" fillId="0" borderId="0" xfId="0" applyFont="1"/>
    <xf numFmtId="164" fontId="76" fillId="2" borderId="0" xfId="0" applyNumberFormat="1" applyFont="1" applyFill="1" applyAlignment="1">
      <alignment horizontal="right" vertical="center"/>
    </xf>
    <xf numFmtId="0" fontId="138" fillId="2" borderId="0" xfId="0" applyFont="1" applyFill="1"/>
    <xf numFmtId="0" fontId="262" fillId="2" borderId="0" xfId="0" applyFont="1" applyFill="1"/>
    <xf numFmtId="0" fontId="262" fillId="2" borderId="0" xfId="0" applyFont="1" applyFill="1" applyAlignment="1">
      <alignment horizontal="right"/>
    </xf>
    <xf numFmtId="0" fontId="141" fillId="2" borderId="0" xfId="0" applyFont="1" applyFill="1" applyAlignment="1">
      <alignment horizontal="right"/>
    </xf>
    <xf numFmtId="2" fontId="230" fillId="0" borderId="0" xfId="0" applyNumberFormat="1" applyFont="1"/>
    <xf numFmtId="0" fontId="231" fillId="0" borderId="0" xfId="0" applyFont="1"/>
    <xf numFmtId="0" fontId="239" fillId="2" borderId="0" xfId="0" applyFont="1" applyFill="1" applyAlignment="1">
      <alignment horizontal="center"/>
    </xf>
    <xf numFmtId="2" fontId="235" fillId="2" borderId="0" xfId="0" applyNumberFormat="1" applyFont="1" applyFill="1" applyAlignment="1">
      <alignment horizontal="center" vertical="center"/>
    </xf>
    <xf numFmtId="0" fontId="136" fillId="2" borderId="0" xfId="0" applyFont="1" applyFill="1" applyAlignment="1">
      <alignment horizontal="center" vertical="center"/>
    </xf>
    <xf numFmtId="0" fontId="270" fillId="2" borderId="0" xfId="0" applyFont="1" applyFill="1" applyAlignment="1">
      <alignment horizontal="center" vertical="center"/>
    </xf>
    <xf numFmtId="4" fontId="153" fillId="2" borderId="0" xfId="0" applyNumberFormat="1" applyFont="1" applyFill="1" applyAlignment="1">
      <alignment horizontal="right" vertical="center"/>
    </xf>
    <xf numFmtId="0" fontId="269" fillId="23" borderId="49" xfId="0" applyFont="1" applyFill="1" applyBorder="1"/>
    <xf numFmtId="0" fontId="0" fillId="23" borderId="66" xfId="0" applyFill="1" applyBorder="1"/>
    <xf numFmtId="0" fontId="9" fillId="23" borderId="83" xfId="0" applyFont="1" applyFill="1" applyBorder="1"/>
    <xf numFmtId="164" fontId="0" fillId="23" borderId="81" xfId="0" applyNumberFormat="1" applyFill="1" applyBorder="1"/>
    <xf numFmtId="0" fontId="9" fillId="23" borderId="51" xfId="0" applyFont="1" applyFill="1" applyBorder="1"/>
    <xf numFmtId="164" fontId="0" fillId="23" borderId="53" xfId="0" applyNumberFormat="1" applyFill="1" applyBorder="1"/>
    <xf numFmtId="0" fontId="269" fillId="31" borderId="49" xfId="0" applyFont="1" applyFill="1" applyBorder="1"/>
    <xf numFmtId="0" fontId="0" fillId="31" borderId="66" xfId="0" applyFill="1" applyBorder="1"/>
    <xf numFmtId="0" fontId="230" fillId="31" borderId="83" xfId="0" applyFont="1" applyFill="1" applyBorder="1"/>
    <xf numFmtId="164" fontId="230" fillId="31" borderId="81" xfId="0" applyNumberFormat="1" applyFont="1" applyFill="1" applyBorder="1"/>
    <xf numFmtId="0" fontId="0" fillId="31" borderId="83" xfId="0" applyFill="1" applyBorder="1"/>
    <xf numFmtId="0" fontId="0" fillId="31" borderId="81" xfId="0" applyFill="1" applyBorder="1"/>
    <xf numFmtId="0" fontId="9" fillId="31" borderId="83" xfId="0" applyFont="1" applyFill="1" applyBorder="1"/>
    <xf numFmtId="164" fontId="0" fillId="31" borderId="81" xfId="0" applyNumberFormat="1" applyFill="1" applyBorder="1"/>
    <xf numFmtId="0" fontId="9" fillId="31" borderId="51" xfId="0" applyFont="1" applyFill="1" applyBorder="1"/>
    <xf numFmtId="164" fontId="0" fillId="31" borderId="53" xfId="0" applyNumberFormat="1" applyFill="1" applyBorder="1"/>
    <xf numFmtId="0" fontId="269" fillId="32" borderId="49" xfId="0" applyFont="1" applyFill="1" applyBorder="1"/>
    <xf numFmtId="0" fontId="0" fillId="32" borderId="66" xfId="0" applyFill="1" applyBorder="1"/>
    <xf numFmtId="0" fontId="230" fillId="32" borderId="83" xfId="0" applyFont="1" applyFill="1" applyBorder="1"/>
    <xf numFmtId="164" fontId="230" fillId="32" borderId="81" xfId="0" applyNumberFormat="1" applyFont="1" applyFill="1" applyBorder="1"/>
    <xf numFmtId="164" fontId="230" fillId="32" borderId="83" xfId="0" applyNumberFormat="1" applyFont="1" applyFill="1" applyBorder="1"/>
    <xf numFmtId="0" fontId="9" fillId="32" borderId="83" xfId="0" applyFont="1" applyFill="1" applyBorder="1"/>
    <xf numFmtId="0" fontId="230" fillId="32" borderId="83" xfId="0" applyFont="1" applyFill="1" applyBorder="1" applyAlignment="1">
      <alignment horizontal="left"/>
    </xf>
    <xf numFmtId="164" fontId="230" fillId="32" borderId="83" xfId="0" applyNumberFormat="1" applyFont="1" applyFill="1" applyBorder="1" applyAlignment="1">
      <alignment horizontal="left" vertical="center"/>
    </xf>
    <xf numFmtId="4" fontId="230" fillId="32" borderId="81" xfId="0" applyNumberFormat="1" applyFont="1" applyFill="1" applyBorder="1"/>
    <xf numFmtId="0" fontId="230" fillId="32" borderId="51" xfId="0" applyFont="1" applyFill="1" applyBorder="1"/>
    <xf numFmtId="0" fontId="0" fillId="32" borderId="50" xfId="0" applyFill="1" applyBorder="1"/>
    <xf numFmtId="164" fontId="230" fillId="32" borderId="0" xfId="0" applyNumberFormat="1" applyFont="1" applyFill="1"/>
    <xf numFmtId="0" fontId="230" fillId="32" borderId="81" xfId="0" applyFont="1" applyFill="1" applyBorder="1"/>
    <xf numFmtId="0" fontId="0" fillId="32" borderId="81" xfId="0" applyFill="1" applyBorder="1"/>
    <xf numFmtId="164" fontId="230" fillId="32" borderId="0" xfId="0" applyNumberFormat="1" applyFont="1" applyFill="1" applyAlignment="1">
      <alignment horizontal="right"/>
    </xf>
    <xf numFmtId="164" fontId="232" fillId="32" borderId="0" xfId="0" applyNumberFormat="1" applyFont="1" applyFill="1" applyAlignment="1">
      <alignment horizontal="center"/>
    </xf>
    <xf numFmtId="164" fontId="230" fillId="32" borderId="0" xfId="0" applyNumberFormat="1" applyFont="1" applyFill="1" applyAlignment="1">
      <alignment horizontal="right" vertical="center"/>
    </xf>
    <xf numFmtId="164" fontId="230" fillId="32" borderId="81" xfId="0" applyNumberFormat="1" applyFont="1" applyFill="1" applyBorder="1" applyAlignment="1">
      <alignment horizontal="left" vertical="center"/>
    </xf>
    <xf numFmtId="4" fontId="230" fillId="32" borderId="0" xfId="0" applyNumberFormat="1" applyFont="1" applyFill="1"/>
    <xf numFmtId="0" fontId="231" fillId="32" borderId="81" xfId="0" applyFont="1" applyFill="1" applyBorder="1"/>
    <xf numFmtId="4" fontId="230" fillId="32" borderId="52" xfId="0" applyNumberFormat="1" applyFont="1" applyFill="1" applyBorder="1"/>
    <xf numFmtId="0" fontId="231" fillId="32" borderId="53" xfId="0" applyFont="1" applyFill="1" applyBorder="1"/>
    <xf numFmtId="0" fontId="269" fillId="28" borderId="49" xfId="0" applyFont="1" applyFill="1" applyBorder="1"/>
    <xf numFmtId="0" fontId="0" fillId="28" borderId="50" xfId="0" applyFill="1" applyBorder="1"/>
    <xf numFmtId="0" fontId="0" fillId="28" borderId="66" xfId="0" applyFill="1" applyBorder="1"/>
    <xf numFmtId="0" fontId="9" fillId="28" borderId="83" xfId="0" applyFont="1" applyFill="1" applyBorder="1"/>
    <xf numFmtId="0" fontId="0" fillId="28" borderId="0" xfId="0" applyFill="1"/>
    <xf numFmtId="164" fontId="0" fillId="28" borderId="81" xfId="0" applyNumberFormat="1" applyFill="1" applyBorder="1"/>
    <xf numFmtId="0" fontId="0" fillId="28" borderId="83" xfId="0" applyFill="1" applyBorder="1"/>
    <xf numFmtId="0" fontId="0" fillId="28" borderId="81" xfId="0" applyFill="1" applyBorder="1"/>
    <xf numFmtId="0" fontId="230" fillId="28" borderId="83" xfId="0" applyFont="1" applyFill="1" applyBorder="1"/>
    <xf numFmtId="164" fontId="230" fillId="28" borderId="0" xfId="0" applyNumberFormat="1" applyFont="1" applyFill="1"/>
    <xf numFmtId="0" fontId="230" fillId="28" borderId="0" xfId="0" applyFont="1" applyFill="1" applyAlignment="1">
      <alignment horizontal="left"/>
    </xf>
    <xf numFmtId="164" fontId="230" fillId="28" borderId="81" xfId="0" applyNumberFormat="1" applyFont="1" applyFill="1" applyBorder="1"/>
    <xf numFmtId="4" fontId="230" fillId="28" borderId="0" xfId="0" applyNumberFormat="1" applyFont="1" applyFill="1" applyAlignment="1">
      <alignment horizontal="right"/>
    </xf>
    <xf numFmtId="4" fontId="230" fillId="28" borderId="0" xfId="0" applyNumberFormat="1" applyFont="1" applyFill="1" applyAlignment="1">
      <alignment horizontal="left"/>
    </xf>
    <xf numFmtId="4" fontId="238" fillId="28" borderId="0" xfId="0" applyNumberFormat="1" applyFont="1" applyFill="1" applyAlignment="1">
      <alignment horizontal="right"/>
    </xf>
    <xf numFmtId="0" fontId="231" fillId="28" borderId="83" xfId="0" applyFont="1" applyFill="1" applyBorder="1"/>
    <xf numFmtId="0" fontId="231" fillId="28" borderId="0" xfId="0" applyFont="1" applyFill="1"/>
    <xf numFmtId="4" fontId="231" fillId="28" borderId="0" xfId="0" applyNumberFormat="1" applyFont="1" applyFill="1" applyAlignment="1">
      <alignment horizontal="right"/>
    </xf>
    <xf numFmtId="164" fontId="19" fillId="28" borderId="81" xfId="0" applyNumberFormat="1" applyFont="1" applyFill="1" applyBorder="1"/>
    <xf numFmtId="0" fontId="19" fillId="28" borderId="0" xfId="0" applyFont="1" applyFill="1" applyAlignment="1">
      <alignment horizontal="left"/>
    </xf>
    <xf numFmtId="164" fontId="230" fillId="28" borderId="81" xfId="0" applyNumberFormat="1" applyFont="1" applyFill="1" applyBorder="1" applyAlignment="1">
      <alignment horizontal="right"/>
    </xf>
    <xf numFmtId="164" fontId="230" fillId="28" borderId="83" xfId="5" applyNumberFormat="1" applyFont="1" applyFill="1" applyBorder="1" applyAlignment="1">
      <alignment horizontal="left" vertical="center"/>
    </xf>
    <xf numFmtId="164" fontId="230" fillId="28" borderId="81" xfId="5" applyNumberFormat="1" applyFont="1" applyFill="1" applyBorder="1" applyAlignment="1">
      <alignment horizontal="right"/>
    </xf>
    <xf numFmtId="0" fontId="19" fillId="28" borderId="0" xfId="5" applyFont="1" applyFill="1"/>
    <xf numFmtId="0" fontId="19" fillId="28" borderId="0" xfId="5" applyFont="1" applyFill="1" applyAlignment="1">
      <alignment horizontal="left"/>
    </xf>
    <xf numFmtId="0" fontId="230" fillId="28" borderId="83" xfId="5" applyFont="1" applyFill="1" applyBorder="1"/>
    <xf numFmtId="164" fontId="19" fillId="28" borderId="83" xfId="5" applyNumberFormat="1" applyFont="1" applyFill="1" applyBorder="1" applyAlignment="1">
      <alignment horizontal="left" vertical="center"/>
    </xf>
    <xf numFmtId="0" fontId="19" fillId="28" borderId="83" xfId="5" applyFont="1" applyFill="1" applyBorder="1"/>
    <xf numFmtId="0" fontId="9" fillId="28" borderId="51" xfId="0" applyFont="1" applyFill="1" applyBorder="1"/>
    <xf numFmtId="0" fontId="0" fillId="28" borderId="52" xfId="0" applyFill="1" applyBorder="1"/>
    <xf numFmtId="164" fontId="230" fillId="28" borderId="53" xfId="5" applyNumberFormat="1" applyFont="1" applyFill="1" applyBorder="1" applyAlignment="1">
      <alignment horizontal="right"/>
    </xf>
    <xf numFmtId="0" fontId="179" fillId="2" borderId="37" xfId="5" applyFont="1" applyFill="1" applyBorder="1" applyAlignment="1">
      <alignment horizontal="center" vertical="center"/>
    </xf>
    <xf numFmtId="0" fontId="179" fillId="2" borderId="28" xfId="5" applyFont="1" applyFill="1" applyBorder="1" applyAlignment="1">
      <alignment horizontal="center" vertical="center"/>
    </xf>
    <xf numFmtId="0" fontId="179" fillId="2" borderId="17" xfId="5" applyFont="1" applyFill="1" applyBorder="1" applyAlignment="1">
      <alignment horizontal="center" vertical="center"/>
    </xf>
    <xf numFmtId="0" fontId="180" fillId="2" borderId="101" xfId="5" applyFont="1" applyFill="1" applyBorder="1" applyAlignment="1">
      <alignment horizontal="center" vertical="center"/>
    </xf>
    <xf numFmtId="0" fontId="273" fillId="2" borderId="0" xfId="1" applyFont="1" applyFill="1" applyBorder="1" applyAlignment="1" applyProtection="1">
      <alignment horizontal="left" vertical="center"/>
    </xf>
    <xf numFmtId="0" fontId="276" fillId="2" borderId="0" xfId="0" applyFont="1" applyFill="1"/>
    <xf numFmtId="0" fontId="276" fillId="0" borderId="0" xfId="0" applyFont="1"/>
    <xf numFmtId="0" fontId="259" fillId="2" borderId="0" xfId="4" applyFont="1" applyFill="1" applyAlignment="1">
      <alignment horizontal="center"/>
    </xf>
    <xf numFmtId="165" fontId="96" fillId="2" borderId="0" xfId="0" applyNumberFormat="1" applyFont="1" applyFill="1" applyAlignment="1">
      <alignment horizontal="left"/>
    </xf>
    <xf numFmtId="0" fontId="271" fillId="0" borderId="83" xfId="0" applyFont="1" applyBorder="1" applyAlignment="1">
      <alignment horizontal="center"/>
    </xf>
    <xf numFmtId="0" fontId="271" fillId="0" borderId="0" xfId="0" applyFont="1" applyAlignment="1">
      <alignment horizontal="center"/>
    </xf>
    <xf numFmtId="0" fontId="269" fillId="6" borderId="49" xfId="0" applyFont="1" applyFill="1" applyBorder="1"/>
    <xf numFmtId="0" fontId="9" fillId="6" borderId="66" xfId="0" applyFont="1" applyFill="1" applyBorder="1"/>
    <xf numFmtId="0" fontId="9" fillId="6" borderId="83" xfId="0" applyFont="1" applyFill="1" applyBorder="1"/>
    <xf numFmtId="164" fontId="0" fillId="6" borderId="81" xfId="0" applyNumberFormat="1" applyFill="1" applyBorder="1"/>
    <xf numFmtId="0" fontId="9" fillId="6" borderId="51" xfId="0" applyFont="1" applyFill="1" applyBorder="1"/>
    <xf numFmtId="164" fontId="0" fillId="6" borderId="53" xfId="0" applyNumberFormat="1" applyFill="1" applyBorder="1"/>
    <xf numFmtId="172" fontId="271" fillId="3" borderId="48" xfId="0" applyNumberFormat="1" applyFont="1" applyFill="1" applyBorder="1" applyAlignment="1">
      <alignment horizontal="center"/>
    </xf>
    <xf numFmtId="0" fontId="151" fillId="4" borderId="38" xfId="5" applyFont="1" applyFill="1" applyBorder="1" applyAlignment="1">
      <alignment horizontal="center" vertical="center"/>
    </xf>
    <xf numFmtId="0" fontId="151" fillId="17" borderId="38" xfId="5" applyFont="1" applyFill="1" applyBorder="1" applyAlignment="1">
      <alignment horizontal="center" vertical="center"/>
    </xf>
    <xf numFmtId="0" fontId="272" fillId="4" borderId="38" xfId="5" applyFont="1" applyFill="1" applyBorder="1" applyAlignment="1">
      <alignment horizontal="center" vertical="center"/>
    </xf>
    <xf numFmtId="0" fontId="272" fillId="17" borderId="38" xfId="5" applyFont="1" applyFill="1" applyBorder="1" applyAlignment="1">
      <alignment horizontal="center" vertical="center"/>
    </xf>
    <xf numFmtId="164" fontId="73" fillId="2" borderId="4" xfId="5" applyNumberFormat="1" applyFont="1" applyFill="1" applyBorder="1" applyAlignment="1">
      <alignment horizontal="center" vertical="center"/>
    </xf>
    <xf numFmtId="164" fontId="277" fillId="2" borderId="4" xfId="5" applyNumberFormat="1" applyFont="1" applyFill="1" applyBorder="1" applyAlignment="1">
      <alignment horizontal="center" vertical="center"/>
    </xf>
    <xf numFmtId="164" fontId="73" fillId="2" borderId="4" xfId="5" applyNumberFormat="1" applyFont="1" applyFill="1" applyBorder="1" applyAlignment="1">
      <alignment horizontal="center"/>
    </xf>
    <xf numFmtId="164" fontId="277" fillId="2" borderId="15" xfId="5" applyNumberFormat="1" applyFont="1" applyFill="1" applyBorder="1" applyAlignment="1">
      <alignment horizontal="center"/>
    </xf>
    <xf numFmtId="0" fontId="156" fillId="22" borderId="6" xfId="0" applyFont="1" applyFill="1" applyBorder="1" applyAlignment="1">
      <alignment horizontal="left" vertical="center"/>
    </xf>
    <xf numFmtId="0" fontId="156" fillId="8" borderId="6" xfId="0" applyFont="1" applyFill="1" applyBorder="1" applyAlignment="1">
      <alignment horizontal="left" vertical="center"/>
    </xf>
    <xf numFmtId="164" fontId="156" fillId="8" borderId="5" xfId="0" applyNumberFormat="1" applyFont="1" applyFill="1" applyBorder="1" applyAlignment="1">
      <alignment horizontal="right" vertical="center"/>
    </xf>
    <xf numFmtId="164" fontId="156" fillId="22" borderId="5" xfId="0" applyNumberFormat="1" applyFont="1" applyFill="1" applyBorder="1" applyAlignment="1">
      <alignment horizontal="right" vertical="center"/>
    </xf>
    <xf numFmtId="2" fontId="69" fillId="2" borderId="0" xfId="1" applyNumberFormat="1" applyFont="1" applyFill="1" applyBorder="1" applyAlignment="1" applyProtection="1">
      <alignment horizontal="left" vertical="center"/>
    </xf>
    <xf numFmtId="0" fontId="111" fillId="2" borderId="0" xfId="7" applyFont="1" applyFill="1" applyAlignment="1">
      <alignment horizontal="left" vertical="center"/>
    </xf>
    <xf numFmtId="0" fontId="54" fillId="2" borderId="3" xfId="4" applyFont="1" applyFill="1" applyBorder="1" applyAlignment="1">
      <alignment horizontal="right" vertical="center"/>
    </xf>
    <xf numFmtId="0" fontId="9" fillId="6" borderId="48" xfId="0" applyFont="1" applyFill="1" applyBorder="1" applyAlignment="1">
      <alignment horizontal="left"/>
    </xf>
    <xf numFmtId="0" fontId="271" fillId="0" borderId="66" xfId="0" applyFont="1" applyBorder="1" applyAlignment="1">
      <alignment horizontal="right"/>
    </xf>
    <xf numFmtId="0" fontId="175" fillId="2" borderId="0" xfId="0" applyFont="1" applyFill="1"/>
    <xf numFmtId="164" fontId="138" fillId="2" borderId="0" xfId="0" applyNumberFormat="1" applyFont="1" applyFill="1" applyAlignment="1">
      <alignment horizontal="center" vertical="center"/>
    </xf>
    <xf numFmtId="0" fontId="96" fillId="2" borderId="0" xfId="0" applyFont="1" applyFill="1" applyAlignment="1">
      <alignment horizontal="right" vertical="center"/>
    </xf>
    <xf numFmtId="0" fontId="172" fillId="2" borderId="0" xfId="0" applyFont="1" applyFill="1" applyAlignment="1">
      <alignment horizontal="right" vertical="center"/>
    </xf>
    <xf numFmtId="0" fontId="280" fillId="2" borderId="0" xfId="0" applyFont="1" applyFill="1" applyAlignment="1">
      <alignment horizontal="left" vertical="center"/>
    </xf>
    <xf numFmtId="164" fontId="280" fillId="2" borderId="0" xfId="0" applyNumberFormat="1" applyFont="1" applyFill="1" applyAlignment="1">
      <alignment horizontal="left" vertical="center"/>
    </xf>
    <xf numFmtId="0" fontId="281" fillId="0" borderId="0" xfId="0" applyFont="1" applyAlignment="1">
      <alignment horizontal="right"/>
    </xf>
    <xf numFmtId="0" fontId="282" fillId="2" borderId="0" xfId="0" applyFont="1" applyFill="1"/>
    <xf numFmtId="0" fontId="257" fillId="2" borderId="0" xfId="0" applyFont="1" applyFill="1" applyAlignment="1">
      <alignment horizontal="left" vertical="center"/>
    </xf>
    <xf numFmtId="0" fontId="125" fillId="2" borderId="0" xfId="0" applyFont="1" applyFill="1"/>
    <xf numFmtId="0" fontId="126" fillId="2" borderId="0" xfId="0" applyFont="1" applyFill="1" applyAlignment="1">
      <alignment horizontal="right"/>
    </xf>
    <xf numFmtId="0" fontId="229" fillId="2" borderId="2" xfId="0" applyFont="1" applyFill="1" applyBorder="1" applyAlignment="1">
      <alignment horizontal="center" vertical="center"/>
    </xf>
    <xf numFmtId="0" fontId="229" fillId="2" borderId="3" xfId="0" applyFont="1" applyFill="1" applyBorder="1" applyAlignment="1">
      <alignment horizontal="center" vertical="center"/>
    </xf>
    <xf numFmtId="0" fontId="229" fillId="2" borderId="0" xfId="0" applyFont="1" applyFill="1" applyAlignment="1">
      <alignment horizontal="center" vertical="center"/>
    </xf>
    <xf numFmtId="0" fontId="274" fillId="2" borderId="0" xfId="1" applyFont="1" applyFill="1" applyBorder="1" applyAlignment="1" applyProtection="1">
      <alignment horizontal="center" vertical="top"/>
    </xf>
    <xf numFmtId="0" fontId="67" fillId="2" borderId="3" xfId="0" applyFont="1" applyFill="1" applyBorder="1" applyAlignment="1">
      <alignment horizontal="center" vertical="top"/>
    </xf>
    <xf numFmtId="0" fontId="230" fillId="2" borderId="3" xfId="0" applyFont="1" applyFill="1" applyBorder="1"/>
    <xf numFmtId="0" fontId="114" fillId="2" borderId="0" xfId="4" applyFont="1" applyFill="1" applyAlignment="1">
      <alignment horizontal="center" vertical="center"/>
    </xf>
    <xf numFmtId="0" fontId="106" fillId="2" borderId="0" xfId="4" applyFont="1" applyFill="1" applyAlignment="1">
      <alignment horizontal="right" vertical="center"/>
    </xf>
    <xf numFmtId="0" fontId="285" fillId="2" borderId="0" xfId="1" applyFont="1" applyFill="1" applyBorder="1" applyAlignment="1" applyProtection="1">
      <alignment horizontal="left" vertical="center"/>
    </xf>
    <xf numFmtId="0" fontId="286" fillId="2" borderId="0" xfId="4" applyFont="1" applyFill="1" applyAlignment="1">
      <alignment horizontal="center"/>
    </xf>
    <xf numFmtId="0" fontId="286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128" fillId="2" borderId="0" xfId="0" applyFont="1" applyFill="1" applyAlignment="1">
      <alignment horizontal="left" vertical="center"/>
    </xf>
    <xf numFmtId="0" fontId="225" fillId="2" borderId="0" xfId="4" applyFont="1" applyFill="1" applyAlignment="1">
      <alignment horizontal="center"/>
    </xf>
    <xf numFmtId="0" fontId="287" fillId="0" borderId="0" xfId="0" applyFont="1" applyAlignment="1">
      <alignment horizontal="center"/>
    </xf>
    <xf numFmtId="0" fontId="19" fillId="2" borderId="0" xfId="4" applyFont="1" applyFill="1" applyAlignment="1">
      <alignment horizontal="left" vertical="center"/>
    </xf>
    <xf numFmtId="0" fontId="19" fillId="2" borderId="0" xfId="4" quotePrefix="1" applyFont="1" applyFill="1" applyAlignment="1">
      <alignment horizontal="left" vertical="center"/>
    </xf>
    <xf numFmtId="20" fontId="115" fillId="2" borderId="0" xfId="4" applyNumberFormat="1" applyFont="1" applyFill="1" applyAlignment="1">
      <alignment horizontal="left" vertical="center"/>
    </xf>
    <xf numFmtId="16" fontId="0" fillId="0" borderId="0" xfId="0" applyNumberFormat="1"/>
    <xf numFmtId="0" fontId="115" fillId="2" borderId="0" xfId="4" applyFont="1" applyFill="1" applyAlignment="1">
      <alignment horizontal="center" vertical="center"/>
    </xf>
    <xf numFmtId="0" fontId="96" fillId="2" borderId="0" xfId="4" applyFont="1" applyFill="1" applyAlignment="1">
      <alignment horizontal="left" vertical="center"/>
    </xf>
    <xf numFmtId="0" fontId="8" fillId="6" borderId="83" xfId="0" applyFont="1" applyFill="1" applyBorder="1"/>
    <xf numFmtId="0" fontId="269" fillId="31" borderId="83" xfId="0" applyFont="1" applyFill="1" applyBorder="1"/>
    <xf numFmtId="0" fontId="168" fillId="6" borderId="20" xfId="0" applyFont="1" applyFill="1" applyBorder="1" applyAlignment="1">
      <alignment horizontal="center" vertical="center"/>
    </xf>
    <xf numFmtId="0" fontId="288" fillId="2" borderId="0" xfId="0" applyFont="1" applyFill="1" applyAlignment="1">
      <alignment horizontal="right" vertical="center"/>
    </xf>
    <xf numFmtId="0" fontId="289" fillId="2" borderId="0" xfId="0" applyFont="1" applyFill="1" applyAlignment="1">
      <alignment horizontal="right" vertical="center"/>
    </xf>
    <xf numFmtId="0" fontId="131" fillId="2" borderId="3" xfId="0" applyFont="1" applyFill="1" applyBorder="1" applyAlignment="1">
      <alignment horizontal="right" vertical="center"/>
    </xf>
    <xf numFmtId="0" fontId="131" fillId="2" borderId="3" xfId="0" applyFont="1" applyFill="1" applyBorder="1" applyAlignment="1">
      <alignment horizontal="center" vertical="center"/>
    </xf>
    <xf numFmtId="0" fontId="288" fillId="2" borderId="0" xfId="0" applyFont="1" applyFill="1" applyAlignment="1">
      <alignment horizontal="right"/>
    </xf>
    <xf numFmtId="0" fontId="131" fillId="2" borderId="3" xfId="0" applyFont="1" applyFill="1" applyBorder="1" applyAlignment="1">
      <alignment horizontal="right"/>
    </xf>
    <xf numFmtId="165" fontId="117" fillId="2" borderId="0" xfId="0" applyNumberFormat="1" applyFont="1" applyFill="1" applyAlignment="1">
      <alignment horizontal="center" vertical="center"/>
    </xf>
    <xf numFmtId="0" fontId="290" fillId="2" borderId="0" xfId="4" applyFont="1" applyFill="1" applyAlignment="1">
      <alignment vertical="center"/>
    </xf>
    <xf numFmtId="0" fontId="7" fillId="6" borderId="83" xfId="0" applyFont="1" applyFill="1" applyBorder="1"/>
    <xf numFmtId="0" fontId="290" fillId="2" borderId="0" xfId="4" applyFont="1" applyFill="1" applyAlignment="1">
      <alignment horizontal="left" vertical="center"/>
    </xf>
    <xf numFmtId="164" fontId="290" fillId="2" borderId="0" xfId="0" applyNumberFormat="1" applyFont="1" applyFill="1" applyAlignment="1">
      <alignment vertical="center"/>
    </xf>
    <xf numFmtId="165" fontId="19" fillId="2" borderId="0" xfId="0" applyNumberFormat="1" applyFont="1" applyFill="1"/>
    <xf numFmtId="0" fontId="112" fillId="2" borderId="0" xfId="4" applyFont="1" applyFill="1" applyAlignment="1">
      <alignment horizontal="right" vertical="center"/>
    </xf>
    <xf numFmtId="164" fontId="79" fillId="2" borderId="3" xfId="0" applyNumberFormat="1" applyFont="1" applyFill="1" applyBorder="1" applyAlignment="1">
      <alignment horizontal="right" vertical="center"/>
    </xf>
    <xf numFmtId="4" fontId="98" fillId="2" borderId="0" xfId="0" applyNumberFormat="1" applyFont="1" applyFill="1" applyAlignment="1">
      <alignment horizontal="center" vertical="center"/>
    </xf>
    <xf numFmtId="0" fontId="138" fillId="2" borderId="0" xfId="0" applyFont="1" applyFill="1" applyAlignment="1">
      <alignment horizontal="center" vertical="center"/>
    </xf>
    <xf numFmtId="164" fontId="292" fillId="31" borderId="81" xfId="0" applyNumberFormat="1" applyFont="1" applyFill="1" applyBorder="1" applyAlignment="1">
      <alignment horizontal="right" vertical="center"/>
    </xf>
    <xf numFmtId="0" fontId="6" fillId="2" borderId="0" xfId="0" applyFont="1" applyFill="1"/>
    <xf numFmtId="164" fontId="230" fillId="2" borderId="0" xfId="5" applyNumberFormat="1" applyFont="1" applyFill="1" applyAlignment="1">
      <alignment horizontal="right"/>
    </xf>
    <xf numFmtId="164" fontId="230" fillId="24" borderId="0" xfId="5" applyNumberFormat="1" applyFont="1" applyFill="1" applyAlignment="1">
      <alignment horizontal="right"/>
    </xf>
    <xf numFmtId="0" fontId="269" fillId="24" borderId="49" xfId="0" applyFont="1" applyFill="1" applyBorder="1"/>
    <xf numFmtId="0" fontId="0" fillId="24" borderId="50" xfId="0" applyFill="1" applyBorder="1"/>
    <xf numFmtId="0" fontId="0" fillId="24" borderId="66" xfId="0" applyFill="1" applyBorder="1"/>
    <xf numFmtId="0" fontId="0" fillId="24" borderId="83" xfId="0" applyFill="1" applyBorder="1"/>
    <xf numFmtId="0" fontId="0" fillId="24" borderId="0" xfId="0" applyFill="1"/>
    <xf numFmtId="0" fontId="0" fillId="24" borderId="81" xfId="0" applyFill="1" applyBorder="1"/>
    <xf numFmtId="0" fontId="6" fillId="24" borderId="83" xfId="0" applyFont="1" applyFill="1" applyBorder="1"/>
    <xf numFmtId="164" fontId="0" fillId="24" borderId="0" xfId="0" applyNumberFormat="1" applyFill="1"/>
    <xf numFmtId="0" fontId="0" fillId="24" borderId="51" xfId="0" applyFill="1" applyBorder="1"/>
    <xf numFmtId="0" fontId="0" fillId="24" borderId="52" xfId="0" applyFill="1" applyBorder="1"/>
    <xf numFmtId="0" fontId="0" fillId="24" borderId="53" xfId="0" applyFill="1" applyBorder="1"/>
    <xf numFmtId="0" fontId="261" fillId="32" borderId="83" xfId="0" applyFont="1" applyFill="1" applyBorder="1" applyAlignment="1">
      <alignment vertical="center"/>
    </xf>
    <xf numFmtId="0" fontId="74" fillId="2" borderId="0" xfId="5" applyFont="1" applyFill="1"/>
    <xf numFmtId="0" fontId="74" fillId="2" borderId="0" xfId="5" applyFont="1" applyFill="1" applyAlignment="1">
      <alignment horizontal="center"/>
    </xf>
    <xf numFmtId="0" fontId="96" fillId="2" borderId="0" xfId="5" applyFont="1" applyFill="1" applyAlignment="1">
      <alignment horizontal="right"/>
    </xf>
    <xf numFmtId="0" fontId="96" fillId="2" borderId="0" xfId="5" applyFont="1" applyFill="1" applyAlignment="1">
      <alignment vertical="center"/>
    </xf>
    <xf numFmtId="164" fontId="74" fillId="2" borderId="0" xfId="5" applyNumberFormat="1" applyFont="1" applyFill="1" applyAlignment="1">
      <alignment horizontal="left" vertical="center"/>
    </xf>
    <xf numFmtId="164" fontId="96" fillId="2" borderId="0" xfId="0" applyNumberFormat="1" applyFont="1" applyFill="1" applyAlignment="1">
      <alignment horizontal="left"/>
    </xf>
    <xf numFmtId="164" fontId="74" fillId="2" borderId="0" xfId="0" applyNumberFormat="1" applyFont="1" applyFill="1"/>
    <xf numFmtId="0" fontId="96" fillId="2" borderId="0" xfId="0" applyFont="1" applyFill="1" applyAlignment="1">
      <alignment horizontal="left" vertical="center"/>
    </xf>
    <xf numFmtId="164" fontId="96" fillId="2" borderId="0" xfId="5" applyNumberFormat="1" applyFont="1" applyFill="1" applyAlignment="1">
      <alignment horizontal="left"/>
    </xf>
    <xf numFmtId="4" fontId="96" fillId="2" borderId="0" xfId="5" applyNumberFormat="1" applyFont="1" applyFill="1" applyAlignment="1">
      <alignment horizontal="left"/>
    </xf>
    <xf numFmtId="0" fontId="156" fillId="2" borderId="0" xfId="0" quotePrefix="1" applyFont="1" applyFill="1" applyAlignment="1">
      <alignment horizontal="center" vertical="center"/>
    </xf>
    <xf numFmtId="164" fontId="79" fillId="2" borderId="15" xfId="0" applyNumberFormat="1" applyFont="1" applyFill="1" applyBorder="1" applyAlignment="1">
      <alignment horizontal="right" vertical="center"/>
    </xf>
    <xf numFmtId="0" fontId="156" fillId="2" borderId="21" xfId="0" quotePrefix="1" applyFont="1" applyFill="1" applyBorder="1" applyAlignment="1">
      <alignment horizontal="center" vertical="center"/>
    </xf>
    <xf numFmtId="0" fontId="168" fillId="6" borderId="32" xfId="0" applyFont="1" applyFill="1" applyBorder="1" applyAlignment="1">
      <alignment horizontal="center" vertical="center"/>
    </xf>
    <xf numFmtId="0" fontId="156" fillId="2" borderId="32" xfId="0" quotePrefix="1" applyFont="1" applyFill="1" applyBorder="1" applyAlignment="1">
      <alignment horizontal="center" vertical="center"/>
    </xf>
    <xf numFmtId="0" fontId="131" fillId="2" borderId="0" xfId="0" applyFont="1" applyFill="1" applyAlignment="1">
      <alignment horizontal="right" vertical="center"/>
    </xf>
    <xf numFmtId="0" fontId="168" fillId="6" borderId="2" xfId="0" applyFont="1" applyFill="1" applyBorder="1" applyAlignment="1">
      <alignment horizontal="center" vertical="center"/>
    </xf>
    <xf numFmtId="0" fontId="168" fillId="6" borderId="32" xfId="1" quotePrefix="1" applyFont="1" applyFill="1" applyBorder="1" applyAlignment="1" applyProtection="1">
      <alignment horizontal="center" vertical="center"/>
    </xf>
    <xf numFmtId="0" fontId="168" fillId="6" borderId="29" xfId="0" applyFont="1" applyFill="1" applyBorder="1" applyAlignment="1">
      <alignment horizontal="center" vertical="center"/>
    </xf>
    <xf numFmtId="0" fontId="241" fillId="2" borderId="0" xfId="0" applyFont="1" applyFill="1" applyAlignment="1">
      <alignment horizontal="center" vertical="center"/>
    </xf>
    <xf numFmtId="164" fontId="231" fillId="2" borderId="0" xfId="0" applyNumberFormat="1" applyFont="1" applyFill="1" applyAlignment="1">
      <alignment horizontal="center" vertical="center"/>
    </xf>
    <xf numFmtId="2" fontId="231" fillId="2" borderId="0" xfId="0" applyNumberFormat="1" applyFont="1" applyFill="1" applyAlignment="1">
      <alignment horizontal="center" vertical="center"/>
    </xf>
    <xf numFmtId="0" fontId="168" fillId="6" borderId="28" xfId="0" applyFont="1" applyFill="1" applyBorder="1" applyAlignment="1">
      <alignment horizontal="center" vertical="center"/>
    </xf>
    <xf numFmtId="0" fontId="168" fillId="6" borderId="37" xfId="0" applyFont="1" applyFill="1" applyBorder="1" applyAlignment="1">
      <alignment horizontal="center" vertical="center"/>
    </xf>
    <xf numFmtId="0" fontId="168" fillId="6" borderId="36" xfId="0" applyFont="1" applyFill="1" applyBorder="1" applyAlignment="1">
      <alignment horizontal="center" vertical="center"/>
    </xf>
    <xf numFmtId="0" fontId="156" fillId="2" borderId="26" xfId="0" quotePrefix="1" applyFont="1" applyFill="1" applyBorder="1" applyAlignment="1">
      <alignment horizontal="center" vertical="center"/>
    </xf>
    <xf numFmtId="0" fontId="156" fillId="2" borderId="105" xfId="0" quotePrefix="1" applyFont="1" applyFill="1" applyBorder="1" applyAlignment="1">
      <alignment horizontal="center" vertical="center"/>
    </xf>
    <xf numFmtId="0" fontId="137" fillId="2" borderId="33" xfId="0" applyFont="1" applyFill="1" applyBorder="1" applyAlignment="1">
      <alignment horizontal="left" vertical="center"/>
    </xf>
    <xf numFmtId="0" fontId="168" fillId="6" borderId="38" xfId="0" applyFont="1" applyFill="1" applyBorder="1" applyAlignment="1">
      <alignment horizontal="center" vertical="center"/>
    </xf>
    <xf numFmtId="0" fontId="137" fillId="2" borderId="15" xfId="0" applyFont="1" applyFill="1" applyBorder="1" applyAlignment="1">
      <alignment horizontal="left" vertical="center"/>
    </xf>
    <xf numFmtId="0" fontId="77" fillId="2" borderId="14" xfId="0" applyFont="1" applyFill="1" applyBorder="1" applyAlignment="1">
      <alignment horizontal="right" vertical="center"/>
    </xf>
    <xf numFmtId="0" fontId="77" fillId="2" borderId="105" xfId="0" applyFont="1" applyFill="1" applyBorder="1" applyAlignment="1">
      <alignment horizontal="right" vertical="center"/>
    </xf>
    <xf numFmtId="0" fontId="78" fillId="2" borderId="105" xfId="0" applyFont="1" applyFill="1" applyBorder="1" applyAlignment="1">
      <alignment horizontal="center" vertical="center"/>
    </xf>
    <xf numFmtId="0" fontId="74" fillId="2" borderId="2" xfId="0" applyFont="1" applyFill="1" applyBorder="1" applyAlignment="1">
      <alignment horizontal="center" vertical="center"/>
    </xf>
    <xf numFmtId="0" fontId="225" fillId="3" borderId="131" xfId="0" applyFont="1" applyFill="1" applyBorder="1" applyAlignment="1">
      <alignment horizontal="center"/>
    </xf>
    <xf numFmtId="164" fontId="225" fillId="3" borderId="86" xfId="0" applyNumberFormat="1" applyFont="1" applyFill="1" applyBorder="1" applyAlignment="1">
      <alignment horizontal="center"/>
    </xf>
    <xf numFmtId="164" fontId="225" fillId="3" borderId="75" xfId="0" applyNumberFormat="1" applyFont="1" applyFill="1" applyBorder="1" applyAlignment="1">
      <alignment horizontal="center"/>
    </xf>
    <xf numFmtId="0" fontId="248" fillId="3" borderId="74" xfId="0" applyFont="1" applyFill="1" applyBorder="1" applyAlignment="1">
      <alignment horizontal="center"/>
    </xf>
    <xf numFmtId="0" fontId="248" fillId="3" borderId="130" xfId="0" applyFont="1" applyFill="1" applyBorder="1" applyAlignment="1">
      <alignment horizontal="center"/>
    </xf>
    <xf numFmtId="0" fontId="248" fillId="3" borderId="86" xfId="0" applyFont="1" applyFill="1" applyBorder="1" applyAlignment="1">
      <alignment horizontal="center"/>
    </xf>
    <xf numFmtId="164" fontId="19" fillId="2" borderId="3" xfId="0" applyNumberFormat="1" applyFont="1" applyFill="1" applyBorder="1" applyAlignment="1">
      <alignment horizontal="center"/>
    </xf>
    <xf numFmtId="173" fontId="96" fillId="2" borderId="91" xfId="0" applyNumberFormat="1" applyFont="1" applyFill="1" applyBorder="1" applyAlignment="1">
      <alignment horizontal="center"/>
    </xf>
    <xf numFmtId="164" fontId="96" fillId="2" borderId="3" xfId="0" applyNumberFormat="1" applyFont="1" applyFill="1" applyBorder="1" applyAlignment="1">
      <alignment horizontal="center"/>
    </xf>
    <xf numFmtId="0" fontId="89" fillId="2" borderId="3" xfId="0" applyFont="1" applyFill="1" applyBorder="1" applyAlignment="1">
      <alignment horizontal="center" vertical="top"/>
    </xf>
    <xf numFmtId="0" fontId="293" fillId="2" borderId="3" xfId="0" applyFont="1" applyFill="1" applyBorder="1" applyAlignment="1">
      <alignment horizontal="right" vertical="center"/>
    </xf>
    <xf numFmtId="0" fontId="225" fillId="3" borderId="132" xfId="0" applyFont="1" applyFill="1" applyBorder="1" applyAlignment="1">
      <alignment horizontal="center"/>
    </xf>
    <xf numFmtId="0" fontId="225" fillId="3" borderId="133" xfId="0" applyFont="1" applyFill="1" applyBorder="1" applyAlignment="1">
      <alignment horizontal="center"/>
    </xf>
    <xf numFmtId="0" fontId="294" fillId="2" borderId="0" xfId="0" quotePrefix="1" applyFont="1" applyFill="1" applyAlignment="1">
      <alignment horizontal="left" vertical="center"/>
    </xf>
    <xf numFmtId="0" fontId="0" fillId="33" borderId="0" xfId="0" applyFill="1"/>
    <xf numFmtId="0" fontId="0" fillId="33" borderId="105" xfId="0" applyFill="1" applyBorder="1"/>
    <xf numFmtId="0" fontId="0" fillId="2" borderId="3" xfId="0" applyFill="1" applyBorder="1"/>
    <xf numFmtId="0" fontId="0" fillId="2" borderId="105" xfId="0" applyFill="1" applyBorder="1"/>
    <xf numFmtId="0" fontId="0" fillId="2" borderId="15" xfId="0" applyFill="1" applyBorder="1"/>
    <xf numFmtId="0" fontId="163" fillId="2" borderId="2" xfId="0" applyFont="1" applyFill="1" applyBorder="1" applyAlignment="1">
      <alignment horizontal="right" vertical="center"/>
    </xf>
    <xf numFmtId="0" fontId="142" fillId="2" borderId="0" xfId="0" applyFont="1" applyFill="1" applyAlignment="1">
      <alignment horizontal="center" vertical="center"/>
    </xf>
    <xf numFmtId="0" fontId="142" fillId="2" borderId="0" xfId="0" applyFont="1" applyFill="1" applyAlignment="1">
      <alignment horizontal="left" vertical="center"/>
    </xf>
    <xf numFmtId="164" fontId="227" fillId="2" borderId="26" xfId="0" applyNumberFormat="1" applyFont="1" applyFill="1" applyBorder="1" applyAlignment="1">
      <alignment horizontal="center" vertical="center"/>
    </xf>
    <xf numFmtId="164" fontId="227" fillId="2" borderId="16" xfId="0" applyNumberFormat="1" applyFont="1" applyFill="1" applyBorder="1" applyAlignment="1">
      <alignment horizontal="center" vertical="center"/>
    </xf>
    <xf numFmtId="3" fontId="229" fillId="2" borderId="26" xfId="0" applyNumberFormat="1" applyFont="1" applyFill="1" applyBorder="1" applyAlignment="1">
      <alignment horizontal="center" vertical="center"/>
    </xf>
    <xf numFmtId="3" fontId="229" fillId="2" borderId="0" xfId="0" applyNumberFormat="1" applyFont="1" applyFill="1" applyAlignment="1">
      <alignment horizontal="center" vertical="center"/>
    </xf>
    <xf numFmtId="3" fontId="229" fillId="2" borderId="16" xfId="0" applyNumberFormat="1" applyFont="1" applyFill="1" applyBorder="1" applyAlignment="1">
      <alignment horizontal="center" vertical="center"/>
    </xf>
    <xf numFmtId="3" fontId="229" fillId="2" borderId="35" xfId="0" applyNumberFormat="1" applyFont="1" applyFill="1" applyBorder="1" applyAlignment="1">
      <alignment horizontal="center" vertical="center"/>
    </xf>
    <xf numFmtId="3" fontId="229" fillId="2" borderId="23" xfId="0" applyNumberFormat="1" applyFont="1" applyFill="1" applyBorder="1" applyAlignment="1">
      <alignment horizontal="center" vertical="center"/>
    </xf>
    <xf numFmtId="164" fontId="227" fillId="2" borderId="35" xfId="0" applyNumberFormat="1" applyFont="1" applyFill="1" applyBorder="1" applyAlignment="1">
      <alignment horizontal="center" vertical="center"/>
    </xf>
    <xf numFmtId="164" fontId="227" fillId="2" borderId="21" xfId="0" applyNumberFormat="1" applyFont="1" applyFill="1" applyBorder="1" applyAlignment="1">
      <alignment horizontal="center" vertical="center"/>
    </xf>
    <xf numFmtId="164" fontId="227" fillId="2" borderId="0" xfId="0" applyNumberFormat="1" applyFont="1" applyFill="1" applyAlignment="1">
      <alignment horizontal="center" vertical="center"/>
    </xf>
    <xf numFmtId="0" fontId="242" fillId="2" borderId="0" xfId="0" applyFont="1" applyFill="1" applyAlignment="1">
      <alignment horizontal="right" vertical="center"/>
    </xf>
    <xf numFmtId="0" fontId="242" fillId="2" borderId="29" xfId="0" applyFont="1" applyFill="1" applyBorder="1" applyAlignment="1">
      <alignment horizontal="right" vertical="center"/>
    </xf>
    <xf numFmtId="0" fontId="242" fillId="2" borderId="32" xfId="0" applyFont="1" applyFill="1" applyBorder="1" applyAlignment="1">
      <alignment horizontal="right" vertical="center"/>
    </xf>
    <xf numFmtId="0" fontId="242" fillId="2" borderId="25" xfId="0" applyFont="1" applyFill="1" applyBorder="1" applyAlignment="1">
      <alignment horizontal="right" vertical="center"/>
    </xf>
    <xf numFmtId="0" fontId="242" fillId="2" borderId="19" xfId="0" applyFont="1" applyFill="1" applyBorder="1" applyAlignment="1">
      <alignment horizontal="right" vertical="center"/>
    </xf>
    <xf numFmtId="0" fontId="242" fillId="2" borderId="22" xfId="0" applyFont="1" applyFill="1" applyBorder="1" applyAlignment="1">
      <alignment horizontal="right" vertical="center"/>
    </xf>
    <xf numFmtId="0" fontId="242" fillId="2" borderId="26" xfId="0" applyFont="1" applyFill="1" applyBorder="1" applyAlignment="1">
      <alignment horizontal="right" vertical="center"/>
    </xf>
    <xf numFmtId="0" fontId="242" fillId="2" borderId="23" xfId="0" applyFont="1" applyFill="1" applyBorder="1" applyAlignment="1">
      <alignment horizontal="right" vertical="center"/>
    </xf>
    <xf numFmtId="0" fontId="242" fillId="2" borderId="27" xfId="0" applyFont="1" applyFill="1" applyBorder="1" applyAlignment="1">
      <alignment horizontal="right" vertical="center"/>
    </xf>
    <xf numFmtId="0" fontId="242" fillId="2" borderId="20" xfId="0" applyFont="1" applyFill="1" applyBorder="1" applyAlignment="1">
      <alignment horizontal="right" vertical="center"/>
    </xf>
    <xf numFmtId="164" fontId="81" fillId="5" borderId="29" xfId="0" applyNumberFormat="1" applyFont="1" applyFill="1" applyBorder="1" applyAlignment="1">
      <alignment horizontal="center" vertical="center"/>
    </xf>
    <xf numFmtId="0" fontId="158" fillId="2" borderId="37" xfId="0" applyFont="1" applyFill="1" applyBorder="1" applyAlignment="1">
      <alignment horizontal="center" vertical="center"/>
    </xf>
    <xf numFmtId="164" fontId="81" fillId="5" borderId="37" xfId="0" applyNumberFormat="1" applyFont="1" applyFill="1" applyBorder="1" applyAlignment="1">
      <alignment horizontal="center" vertical="center"/>
    </xf>
    <xf numFmtId="0" fontId="158" fillId="2" borderId="92" xfId="0" applyFont="1" applyFill="1" applyBorder="1" applyAlignment="1">
      <alignment horizontal="center" vertical="center"/>
    </xf>
    <xf numFmtId="164" fontId="81" fillId="5" borderId="38" xfId="0" applyNumberFormat="1" applyFont="1" applyFill="1" applyBorder="1" applyAlignment="1">
      <alignment horizontal="center" vertical="center"/>
    </xf>
    <xf numFmtId="0" fontId="158" fillId="2" borderId="82" xfId="0" applyFont="1" applyFill="1" applyBorder="1" applyAlignment="1">
      <alignment horizontal="center" vertical="center"/>
    </xf>
    <xf numFmtId="0" fontId="194" fillId="15" borderId="117" xfId="0" applyFont="1" applyFill="1" applyBorder="1" applyAlignment="1">
      <alignment horizontal="center" vertical="center"/>
    </xf>
    <xf numFmtId="0" fontId="54" fillId="2" borderId="134" xfId="0" applyFont="1" applyFill="1" applyBorder="1" applyAlignment="1">
      <alignment horizontal="center" vertical="center"/>
    </xf>
    <xf numFmtId="0" fontId="82" fillId="2" borderId="65" xfId="0" applyFont="1" applyFill="1" applyBorder="1" applyAlignment="1">
      <alignment horizontal="center" vertical="center"/>
    </xf>
    <xf numFmtId="0" fontId="82" fillId="2" borderId="69" xfId="0" applyFont="1" applyFill="1" applyBorder="1" applyAlignment="1">
      <alignment horizontal="center" vertical="center"/>
    </xf>
    <xf numFmtId="0" fontId="54" fillId="2" borderId="69" xfId="0" applyFont="1" applyFill="1" applyBorder="1" applyAlignment="1">
      <alignment horizontal="right" vertical="center"/>
    </xf>
    <xf numFmtId="1" fontId="82" fillId="2" borderId="0" xfId="0" applyNumberFormat="1" applyFont="1" applyFill="1" applyAlignment="1">
      <alignment horizontal="center" vertical="center"/>
    </xf>
    <xf numFmtId="4" fontId="74" fillId="2" borderId="0" xfId="0" applyNumberFormat="1" applyFont="1" applyFill="1" applyAlignment="1">
      <alignment horizontal="left" vertical="center"/>
    </xf>
    <xf numFmtId="4" fontId="74" fillId="2" borderId="0" xfId="0" applyNumberFormat="1" applyFont="1" applyFill="1" applyAlignment="1">
      <alignment horizontal="center" vertical="center"/>
    </xf>
    <xf numFmtId="0" fontId="74" fillId="2" borderId="0" xfId="0" applyFont="1" applyFill="1" applyAlignment="1">
      <alignment horizontal="center"/>
    </xf>
    <xf numFmtId="4" fontId="96" fillId="2" borderId="0" xfId="0" applyNumberFormat="1" applyFont="1" applyFill="1" applyAlignment="1">
      <alignment vertical="center"/>
    </xf>
    <xf numFmtId="4" fontId="96" fillId="2" borderId="0" xfId="0" applyNumberFormat="1" applyFont="1" applyFill="1" applyAlignment="1">
      <alignment horizontal="right" vertical="center"/>
    </xf>
    <xf numFmtId="0" fontId="238" fillId="6" borderId="59" xfId="0" applyFont="1" applyFill="1" applyBorder="1" applyAlignment="1">
      <alignment horizontal="center" vertical="center"/>
    </xf>
    <xf numFmtId="0" fontId="238" fillId="6" borderId="33" xfId="0" applyFont="1" applyFill="1" applyBorder="1" applyAlignment="1">
      <alignment horizontal="center" vertical="center"/>
    </xf>
    <xf numFmtId="0" fontId="238" fillId="6" borderId="37" xfId="0" applyFont="1" applyFill="1" applyBorder="1" applyAlignment="1">
      <alignment horizontal="center" vertical="center"/>
    </xf>
    <xf numFmtId="0" fontId="238" fillId="6" borderId="47" xfId="0" applyFont="1" applyFill="1" applyBorder="1" applyAlignment="1">
      <alignment horizontal="center" vertical="center"/>
    </xf>
    <xf numFmtId="0" fontId="238" fillId="6" borderId="82" xfId="0" applyFont="1" applyFill="1" applyBorder="1" applyAlignment="1">
      <alignment horizontal="center" vertical="center"/>
    </xf>
    <xf numFmtId="0" fontId="238" fillId="6" borderId="92" xfId="0" applyFont="1" applyFill="1" applyBorder="1" applyAlignment="1">
      <alignment horizontal="center" vertical="center"/>
    </xf>
    <xf numFmtId="0" fontId="54" fillId="2" borderId="68" xfId="0" applyFont="1" applyFill="1" applyBorder="1" applyAlignment="1">
      <alignment horizontal="center" vertical="center"/>
    </xf>
    <xf numFmtId="164" fontId="81" fillId="5" borderId="32" xfId="0" applyNumberFormat="1" applyFont="1" applyFill="1" applyBorder="1" applyAlignment="1">
      <alignment horizontal="center" vertical="center"/>
    </xf>
    <xf numFmtId="164" fontId="81" fillId="5" borderId="2" xfId="0" applyNumberFormat="1" applyFont="1" applyFill="1" applyBorder="1" applyAlignment="1">
      <alignment horizontal="center" vertical="center"/>
    </xf>
    <xf numFmtId="0" fontId="182" fillId="6" borderId="59" xfId="5" applyFont="1" applyFill="1" applyBorder="1" applyAlignment="1">
      <alignment horizontal="center" vertical="center"/>
    </xf>
    <xf numFmtId="0" fontId="74" fillId="2" borderId="0" xfId="5" applyFont="1" applyFill="1" applyAlignment="1">
      <alignment horizontal="left"/>
    </xf>
    <xf numFmtId="0" fontId="54" fillId="2" borderId="65" xfId="0" applyFont="1" applyFill="1" applyBorder="1" applyAlignment="1">
      <alignment horizontal="center" vertical="center"/>
    </xf>
    <xf numFmtId="0" fontId="81" fillId="2" borderId="46" xfId="0" applyFont="1" applyFill="1" applyBorder="1" applyAlignment="1">
      <alignment horizontal="center" vertical="center"/>
    </xf>
    <xf numFmtId="0" fontId="81" fillId="2" borderId="47" xfId="0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center" vertical="center"/>
    </xf>
    <xf numFmtId="0" fontId="81" fillId="2" borderId="3" xfId="0" applyFont="1" applyFill="1" applyBorder="1" applyAlignment="1">
      <alignment horizontal="center" vertical="center"/>
    </xf>
    <xf numFmtId="0" fontId="144" fillId="10" borderId="3" xfId="0" applyFont="1" applyFill="1" applyBorder="1" applyAlignment="1">
      <alignment horizontal="center" vertical="top"/>
    </xf>
    <xf numFmtId="164" fontId="90" fillId="2" borderId="117" xfId="0" applyNumberFormat="1" applyFont="1" applyFill="1" applyBorder="1" applyAlignment="1">
      <alignment horizontal="center" vertical="center"/>
    </xf>
    <xf numFmtId="0" fontId="156" fillId="2" borderId="0" xfId="0" applyFont="1" applyFill="1" applyAlignment="1">
      <alignment horizontal="right" vertical="center"/>
    </xf>
    <xf numFmtId="164" fontId="142" fillId="2" borderId="3" xfId="0" applyNumberFormat="1" applyFont="1" applyFill="1" applyBorder="1" applyAlignment="1">
      <alignment horizontal="right" vertical="center"/>
    </xf>
    <xf numFmtId="0" fontId="144" fillId="10" borderId="2" xfId="0" applyFont="1" applyFill="1" applyBorder="1" applyAlignment="1">
      <alignment horizontal="center" vertical="center"/>
    </xf>
    <xf numFmtId="0" fontId="144" fillId="10" borderId="0" xfId="0" applyFont="1" applyFill="1" applyAlignment="1">
      <alignment horizontal="center" vertical="center"/>
    </xf>
    <xf numFmtId="0" fontId="144" fillId="10" borderId="3" xfId="0" applyFont="1" applyFill="1" applyBorder="1" applyAlignment="1">
      <alignment horizontal="center" vertical="center"/>
    </xf>
    <xf numFmtId="164" fontId="142" fillId="2" borderId="0" xfId="0" applyNumberFormat="1" applyFont="1" applyFill="1" applyAlignment="1">
      <alignment horizontal="right" vertical="center"/>
    </xf>
    <xf numFmtId="0" fontId="92" fillId="6" borderId="35" xfId="0" applyFont="1" applyFill="1" applyBorder="1" applyAlignment="1">
      <alignment horizontal="center" vertical="center"/>
    </xf>
    <xf numFmtId="0" fontId="92" fillId="6" borderId="0" xfId="0" applyFont="1" applyFill="1" applyAlignment="1">
      <alignment horizontal="center" vertical="center"/>
    </xf>
    <xf numFmtId="0" fontId="194" fillId="15" borderId="119" xfId="0" applyFont="1" applyFill="1" applyBorder="1" applyAlignment="1">
      <alignment horizontal="center" vertical="center"/>
    </xf>
    <xf numFmtId="164" fontId="227" fillId="2" borderId="105" xfId="0" applyNumberFormat="1" applyFont="1" applyFill="1" applyBorder="1" applyAlignment="1">
      <alignment horizontal="center" vertical="center"/>
    </xf>
    <xf numFmtId="0" fontId="87" fillId="2" borderId="123" xfId="0" applyFont="1" applyFill="1" applyBorder="1" applyAlignment="1">
      <alignment horizontal="center" vertical="center"/>
    </xf>
    <xf numFmtId="0" fontId="76" fillId="2" borderId="105" xfId="0" applyFont="1" applyFill="1" applyBorder="1" applyAlignment="1">
      <alignment horizontal="right" vertical="center"/>
    </xf>
    <xf numFmtId="0" fontId="131" fillId="2" borderId="105" xfId="0" applyFont="1" applyFill="1" applyBorder="1" applyAlignment="1">
      <alignment horizontal="right" vertical="center"/>
    </xf>
    <xf numFmtId="164" fontId="79" fillId="2" borderId="118" xfId="0" applyNumberFormat="1" applyFont="1" applyFill="1" applyBorder="1" applyAlignment="1">
      <alignment horizontal="right" vertical="center"/>
    </xf>
    <xf numFmtId="164" fontId="227" fillId="2" borderId="124" xfId="0" applyNumberFormat="1" applyFont="1" applyFill="1" applyBorder="1" applyAlignment="1">
      <alignment horizontal="center" vertical="center"/>
    </xf>
    <xf numFmtId="0" fontId="242" fillId="2" borderId="119" xfId="0" applyFont="1" applyFill="1" applyBorder="1" applyAlignment="1">
      <alignment horizontal="right" vertical="center"/>
    </xf>
    <xf numFmtId="164" fontId="156" fillId="2" borderId="118" xfId="0" quotePrefix="1" applyNumberFormat="1" applyFont="1" applyFill="1" applyBorder="1" applyAlignment="1">
      <alignment horizontal="center" vertical="center"/>
    </xf>
    <xf numFmtId="0" fontId="137" fillId="2" borderId="123" xfId="0" applyFont="1" applyFill="1" applyBorder="1" applyAlignment="1">
      <alignment horizontal="left" vertical="center"/>
    </xf>
    <xf numFmtId="0" fontId="135" fillId="2" borderId="124" xfId="0" applyFont="1" applyFill="1" applyBorder="1" applyAlignment="1">
      <alignment horizontal="center" vertical="center"/>
    </xf>
    <xf numFmtId="0" fontId="135" fillId="2" borderId="123" xfId="0" applyFont="1" applyFill="1" applyBorder="1" applyAlignment="1">
      <alignment horizontal="center" vertical="center"/>
    </xf>
    <xf numFmtId="0" fontId="144" fillId="10" borderId="125" xfId="0" applyFont="1" applyFill="1" applyBorder="1" applyAlignment="1">
      <alignment horizontal="center" vertical="center"/>
    </xf>
    <xf numFmtId="0" fontId="144" fillId="10" borderId="124" xfId="0" applyFont="1" applyFill="1" applyBorder="1" applyAlignment="1">
      <alignment horizontal="center" vertical="center"/>
    </xf>
    <xf numFmtId="0" fontId="144" fillId="10" borderId="123" xfId="0" applyFont="1" applyFill="1" applyBorder="1" applyAlignment="1">
      <alignment horizontal="center" vertical="center"/>
    </xf>
    <xf numFmtId="0" fontId="5" fillId="2" borderId="2" xfId="0" applyFont="1" applyFill="1" applyBorder="1"/>
    <xf numFmtId="0" fontId="5" fillId="2" borderId="3" xfId="0" applyFont="1" applyFill="1" applyBorder="1"/>
    <xf numFmtId="0" fontId="5" fillId="2" borderId="0" xfId="0" applyFont="1" applyFill="1"/>
    <xf numFmtId="0" fontId="194" fillId="5" borderId="119" xfId="0" applyFont="1" applyFill="1" applyBorder="1" applyAlignment="1">
      <alignment horizontal="center" vertical="center"/>
    </xf>
    <xf numFmtId="0" fontId="0" fillId="10" borderId="105" xfId="0" applyFill="1" applyBorder="1"/>
    <xf numFmtId="0" fontId="99" fillId="2" borderId="119" xfId="0" applyFont="1" applyFill="1" applyBorder="1" applyAlignment="1">
      <alignment horizontal="center" vertical="center"/>
    </xf>
    <xf numFmtId="0" fontId="82" fillId="2" borderId="117" xfId="0" applyFont="1" applyFill="1" applyBorder="1" applyAlignment="1">
      <alignment horizontal="center" vertical="center"/>
    </xf>
    <xf numFmtId="0" fontId="82" fillId="2" borderId="118" xfId="0" applyFont="1" applyFill="1" applyBorder="1" applyAlignment="1">
      <alignment horizontal="center" vertical="center"/>
    </xf>
    <xf numFmtId="0" fontId="243" fillId="15" borderId="81" xfId="0" applyFont="1" applyFill="1" applyBorder="1" applyAlignment="1">
      <alignment horizontal="center" vertical="center"/>
    </xf>
    <xf numFmtId="0" fontId="243" fillId="15" borderId="102" xfId="0" applyFont="1" applyFill="1" applyBorder="1" applyAlignment="1">
      <alignment horizontal="center" vertical="center"/>
    </xf>
    <xf numFmtId="0" fontId="243" fillId="15" borderId="38" xfId="0" applyFont="1" applyFill="1" applyBorder="1" applyAlignment="1">
      <alignment horizontal="center" vertical="center"/>
    </xf>
    <xf numFmtId="0" fontId="243" fillId="15" borderId="36" xfId="0" applyFont="1" applyFill="1" applyBorder="1" applyAlignment="1">
      <alignment horizontal="center" vertical="center"/>
    </xf>
    <xf numFmtId="0" fontId="243" fillId="15" borderId="108" xfId="0" applyFont="1" applyFill="1" applyBorder="1" applyAlignment="1">
      <alignment horizontal="center" vertical="center"/>
    </xf>
    <xf numFmtId="0" fontId="225" fillId="2" borderId="3" xfId="0" applyFont="1" applyFill="1" applyBorder="1" applyAlignment="1">
      <alignment horizontal="center"/>
    </xf>
    <xf numFmtId="0" fontId="225" fillId="3" borderId="137" xfId="0" applyFont="1" applyFill="1" applyBorder="1" applyAlignment="1">
      <alignment horizontal="center"/>
    </xf>
    <xf numFmtId="0" fontId="243" fillId="15" borderId="136" xfId="0" applyFont="1" applyFill="1" applyBorder="1" applyAlignment="1">
      <alignment horizontal="center" vertical="center"/>
    </xf>
    <xf numFmtId="0" fontId="299" fillId="15" borderId="53" xfId="0" applyFont="1" applyFill="1" applyBorder="1" applyAlignment="1">
      <alignment horizontal="center" vertical="center"/>
    </xf>
    <xf numFmtId="0" fontId="243" fillId="15" borderId="109" xfId="0" applyFont="1" applyFill="1" applyBorder="1" applyAlignment="1">
      <alignment horizontal="center" vertical="center"/>
    </xf>
    <xf numFmtId="0" fontId="162" fillId="10" borderId="119" xfId="0" applyFont="1" applyFill="1" applyBorder="1" applyAlignment="1">
      <alignment horizontal="center" vertical="center"/>
    </xf>
    <xf numFmtId="0" fontId="162" fillId="10" borderId="117" xfId="0" applyFont="1" applyFill="1" applyBorder="1" applyAlignment="1">
      <alignment horizontal="center" vertical="center"/>
    </xf>
    <xf numFmtId="0" fontId="162" fillId="10" borderId="118" xfId="0" applyFont="1" applyFill="1" applyBorder="1" applyAlignment="1">
      <alignment horizontal="center" vertical="center"/>
    </xf>
    <xf numFmtId="0" fontId="156" fillId="34" borderId="119" xfId="0" applyFont="1" applyFill="1" applyBorder="1" applyAlignment="1">
      <alignment horizontal="right" vertical="center"/>
    </xf>
    <xf numFmtId="0" fontId="243" fillId="15" borderId="90" xfId="0" applyFont="1" applyFill="1" applyBorder="1" applyAlignment="1">
      <alignment horizontal="center" vertical="center"/>
    </xf>
    <xf numFmtId="0" fontId="242" fillId="2" borderId="37" xfId="0" applyFont="1" applyFill="1" applyBorder="1" applyAlignment="1">
      <alignment horizontal="right" vertical="center"/>
    </xf>
    <xf numFmtId="0" fontId="225" fillId="3" borderId="135" xfId="0" applyFont="1" applyFill="1" applyBorder="1" applyAlignment="1">
      <alignment horizontal="center"/>
    </xf>
    <xf numFmtId="0" fontId="194" fillId="34" borderId="119" xfId="0" applyFont="1" applyFill="1" applyBorder="1" applyAlignment="1">
      <alignment horizontal="center" vertical="center"/>
    </xf>
    <xf numFmtId="0" fontId="4" fillId="24" borderId="83" xfId="0" applyFont="1" applyFill="1" applyBorder="1"/>
    <xf numFmtId="0" fontId="236" fillId="27" borderId="55" xfId="0" applyFont="1" applyFill="1" applyBorder="1"/>
    <xf numFmtId="164" fontId="300" fillId="27" borderId="56" xfId="0" applyNumberFormat="1" applyFont="1" applyFill="1" applyBorder="1"/>
    <xf numFmtId="0" fontId="300" fillId="27" borderId="57" xfId="0" applyFont="1" applyFill="1" applyBorder="1"/>
    <xf numFmtId="0" fontId="300" fillId="27" borderId="81" xfId="0" applyFont="1" applyFill="1" applyBorder="1"/>
    <xf numFmtId="0" fontId="0" fillId="27" borderId="81" xfId="0" applyFill="1" applyBorder="1"/>
    <xf numFmtId="0" fontId="300" fillId="27" borderId="83" xfId="0" applyFont="1" applyFill="1" applyBorder="1"/>
    <xf numFmtId="164" fontId="0" fillId="27" borderId="0" xfId="0" applyNumberFormat="1" applyFill="1"/>
    <xf numFmtId="0" fontId="0" fillId="26" borderId="83" xfId="0" applyFill="1" applyBorder="1"/>
    <xf numFmtId="0" fontId="0" fillId="26" borderId="52" xfId="0" applyFill="1" applyBorder="1"/>
    <xf numFmtId="0" fontId="0" fillId="26" borderId="53" xfId="0" applyFill="1" applyBorder="1"/>
    <xf numFmtId="0" fontId="236" fillId="26" borderId="55" xfId="0" applyFont="1" applyFill="1" applyBorder="1"/>
    <xf numFmtId="0" fontId="0" fillId="26" borderId="56" xfId="0" applyFill="1" applyBorder="1"/>
    <xf numFmtId="0" fontId="0" fillId="26" borderId="57" xfId="0" applyFill="1" applyBorder="1"/>
    <xf numFmtId="0" fontId="300" fillId="26" borderId="83" xfId="0" applyFont="1" applyFill="1" applyBorder="1"/>
    <xf numFmtId="0" fontId="0" fillId="26" borderId="0" xfId="0" applyFill="1"/>
    <xf numFmtId="0" fontId="0" fillId="26" borderId="81" xfId="0" applyFill="1" applyBorder="1"/>
    <xf numFmtId="0" fontId="0" fillId="26" borderId="51" xfId="0" applyFill="1" applyBorder="1"/>
    <xf numFmtId="164" fontId="300" fillId="27" borderId="0" xfId="0" applyNumberFormat="1" applyFont="1" applyFill="1"/>
    <xf numFmtId="0" fontId="238" fillId="6" borderId="44" xfId="0" applyFont="1" applyFill="1" applyBorder="1" applyAlignment="1">
      <alignment horizontal="center" vertical="center"/>
    </xf>
    <xf numFmtId="0" fontId="238" fillId="6" borderId="45" xfId="0" applyFont="1" applyFill="1" applyBorder="1" applyAlignment="1">
      <alignment horizontal="center" vertical="center"/>
    </xf>
    <xf numFmtId="0" fontId="238" fillId="6" borderId="60" xfId="0" applyFont="1" applyFill="1" applyBorder="1" applyAlignment="1">
      <alignment horizontal="center" vertical="center"/>
    </xf>
    <xf numFmtId="0" fontId="158" fillId="2" borderId="61" xfId="0" applyFont="1" applyFill="1" applyBorder="1" applyAlignment="1">
      <alignment horizontal="center" vertical="center"/>
    </xf>
    <xf numFmtId="0" fontId="238" fillId="6" borderId="62" xfId="0" applyFont="1" applyFill="1" applyBorder="1" applyAlignment="1">
      <alignment horizontal="center" vertical="center"/>
    </xf>
    <xf numFmtId="0" fontId="238" fillId="6" borderId="61" xfId="0" applyFont="1" applyFill="1" applyBorder="1" applyAlignment="1">
      <alignment horizontal="center" vertical="center"/>
    </xf>
    <xf numFmtId="0" fontId="81" fillId="2" borderId="60" xfId="0" applyFont="1" applyFill="1" applyBorder="1" applyAlignment="1">
      <alignment horizontal="center" vertical="center"/>
    </xf>
    <xf numFmtId="0" fontId="81" fillId="2" borderId="62" xfId="0" applyFont="1" applyFill="1" applyBorder="1" applyAlignment="1">
      <alignment horizontal="center" vertical="center"/>
    </xf>
    <xf numFmtId="164" fontId="81" fillId="5" borderId="138" xfId="0" applyNumberFormat="1" applyFont="1" applyFill="1" applyBorder="1" applyAlignment="1">
      <alignment horizontal="center" vertical="center"/>
    </xf>
    <xf numFmtId="0" fontId="158" fillId="2" borderId="39" xfId="0" applyFont="1" applyFill="1" applyBorder="1" applyAlignment="1">
      <alignment horizontal="center" vertical="center"/>
    </xf>
    <xf numFmtId="0" fontId="238" fillId="6" borderId="31" xfId="0" applyFont="1" applyFill="1" applyBorder="1" applyAlignment="1">
      <alignment horizontal="center" vertical="center"/>
    </xf>
    <xf numFmtId="0" fontId="238" fillId="6" borderId="39" xfId="0" applyFont="1" applyFill="1" applyBorder="1" applyAlignment="1">
      <alignment horizontal="center" vertical="center"/>
    </xf>
    <xf numFmtId="164" fontId="81" fillId="5" borderId="39" xfId="0" applyNumberFormat="1" applyFont="1" applyFill="1" applyBorder="1" applyAlignment="1">
      <alignment horizontal="center" vertical="center"/>
    </xf>
    <xf numFmtId="164" fontId="81" fillId="5" borderId="30" xfId="0" applyNumberFormat="1" applyFont="1" applyFill="1" applyBorder="1" applyAlignment="1">
      <alignment horizontal="center" vertical="center"/>
    </xf>
    <xf numFmtId="0" fontId="194" fillId="15" borderId="139" xfId="0" applyFont="1" applyFill="1" applyBorder="1" applyAlignment="1">
      <alignment horizontal="center" vertical="center"/>
    </xf>
    <xf numFmtId="0" fontId="194" fillId="15" borderId="36" xfId="0" applyFont="1" applyFill="1" applyBorder="1" applyAlignment="1">
      <alignment horizontal="center" vertical="center"/>
    </xf>
    <xf numFmtId="0" fontId="82" fillId="2" borderId="105" xfId="0" applyFont="1" applyFill="1" applyBorder="1" applyAlignment="1">
      <alignment horizontal="center" vertical="center"/>
    </xf>
    <xf numFmtId="0" fontId="144" fillId="10" borderId="0" xfId="0" applyFont="1" applyFill="1" applyAlignment="1">
      <alignment horizontal="center" vertical="top"/>
    </xf>
    <xf numFmtId="0" fontId="3" fillId="24" borderId="83" xfId="0" applyFont="1" applyFill="1" applyBorder="1"/>
    <xf numFmtId="0" fontId="6" fillId="24" borderId="51" xfId="0" applyFont="1" applyFill="1" applyBorder="1"/>
    <xf numFmtId="164" fontId="230" fillId="24" borderId="52" xfId="5" applyNumberFormat="1" applyFont="1" applyFill="1" applyBorder="1" applyAlignment="1">
      <alignment horizontal="right"/>
    </xf>
    <xf numFmtId="0" fontId="3" fillId="24" borderId="51" xfId="0" applyFont="1" applyFill="1" applyBorder="1"/>
    <xf numFmtId="164" fontId="0" fillId="24" borderId="52" xfId="0" applyNumberFormat="1" applyFill="1" applyBorder="1"/>
    <xf numFmtId="0" fontId="81" fillId="2" borderId="0" xfId="0" applyFont="1" applyFill="1" applyAlignment="1">
      <alignment horizontal="center"/>
    </xf>
    <xf numFmtId="0" fontId="101" fillId="2" borderId="0" xfId="5" applyFont="1" applyFill="1" applyAlignment="1">
      <alignment horizontal="center" vertical="center"/>
    </xf>
    <xf numFmtId="0" fontId="270" fillId="2" borderId="0" xfId="5" applyFont="1" applyFill="1" applyAlignment="1">
      <alignment horizontal="center" vertical="center"/>
    </xf>
    <xf numFmtId="0" fontId="242" fillId="2" borderId="21" xfId="0" applyFont="1" applyFill="1" applyBorder="1" applyAlignment="1">
      <alignment horizontal="right" vertical="center"/>
    </xf>
    <xf numFmtId="164" fontId="51" fillId="2" borderId="0" xfId="0" quotePrefix="1" applyNumberFormat="1" applyFont="1" applyFill="1" applyAlignment="1">
      <alignment horizontal="center" vertical="center"/>
    </xf>
    <xf numFmtId="164" fontId="101" fillId="2" borderId="0" xfId="0" applyNumberFormat="1" applyFont="1" applyFill="1" applyAlignment="1">
      <alignment horizontal="right" vertical="center"/>
    </xf>
    <xf numFmtId="0" fontId="19" fillId="2" borderId="0" xfId="0" applyFont="1" applyFill="1" applyAlignment="1">
      <alignment horizontal="left"/>
    </xf>
    <xf numFmtId="0" fontId="231" fillId="2" borderId="0" xfId="0" applyFont="1" applyFill="1" applyAlignment="1">
      <alignment horizontal="left" vertical="center"/>
    </xf>
    <xf numFmtId="0" fontId="231" fillId="2" borderId="0" xfId="0" applyFont="1" applyFill="1"/>
    <xf numFmtId="0" fontId="231" fillId="2" borderId="0" xfId="0" applyFont="1" applyFill="1" applyAlignment="1">
      <alignment horizontal="left"/>
    </xf>
    <xf numFmtId="0" fontId="232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19" fillId="2" borderId="0" xfId="0" applyFont="1" applyFill="1" applyAlignment="1">
      <alignment vertical="center"/>
    </xf>
    <xf numFmtId="164" fontId="231" fillId="2" borderId="0" xfId="0" applyNumberFormat="1" applyFont="1" applyFill="1"/>
    <xf numFmtId="0" fontId="232" fillId="2" borderId="0" xfId="0" applyFont="1" applyFill="1" applyAlignment="1">
      <alignment horizontal="left" vertical="center"/>
    </xf>
    <xf numFmtId="0" fontId="228" fillId="2" borderId="0" xfId="0" applyFont="1" applyFill="1" applyAlignment="1">
      <alignment horizontal="center" vertical="center"/>
    </xf>
    <xf numFmtId="0" fontId="151" fillId="5" borderId="124" xfId="0" applyFont="1" applyFill="1" applyBorder="1" applyAlignment="1">
      <alignment horizontal="center" vertical="center"/>
    </xf>
    <xf numFmtId="164" fontId="79" fillId="2" borderId="119" xfId="0" applyNumberFormat="1" applyFont="1" applyFill="1" applyBorder="1" applyAlignment="1">
      <alignment horizontal="right" vertical="center"/>
    </xf>
    <xf numFmtId="1" fontId="240" fillId="6" borderId="84" xfId="0" quotePrefix="1" applyNumberFormat="1" applyFont="1" applyFill="1" applyBorder="1" applyAlignment="1">
      <alignment horizontal="center" vertical="center"/>
    </xf>
    <xf numFmtId="1" fontId="240" fillId="6" borderId="75" xfId="0" quotePrefix="1" applyNumberFormat="1" applyFont="1" applyFill="1" applyBorder="1" applyAlignment="1">
      <alignment horizontal="center" vertical="center"/>
    </xf>
    <xf numFmtId="1" fontId="240" fillId="6" borderId="88" xfId="0" quotePrefix="1" applyNumberFormat="1" applyFont="1" applyFill="1" applyBorder="1" applyAlignment="1">
      <alignment horizontal="center" vertical="center"/>
    </xf>
    <xf numFmtId="1" fontId="240" fillId="6" borderId="74" xfId="0" quotePrefix="1" applyNumberFormat="1" applyFont="1" applyFill="1" applyBorder="1" applyAlignment="1">
      <alignment horizontal="center" vertical="center"/>
    </xf>
    <xf numFmtId="1" fontId="240" fillId="6" borderId="87" xfId="0" quotePrefix="1" applyNumberFormat="1" applyFont="1" applyFill="1" applyBorder="1" applyAlignment="1">
      <alignment horizontal="center" vertical="center"/>
    </xf>
    <xf numFmtId="0" fontId="90" fillId="6" borderId="48" xfId="0" applyFont="1" applyFill="1" applyBorder="1" applyAlignment="1">
      <alignment horizontal="center" vertical="center"/>
    </xf>
    <xf numFmtId="0" fontId="245" fillId="15" borderId="38" xfId="0" applyFont="1" applyFill="1" applyBorder="1" applyAlignment="1">
      <alignment horizontal="center"/>
    </xf>
    <xf numFmtId="0" fontId="245" fillId="15" borderId="36" xfId="0" applyFont="1" applyFill="1" applyBorder="1" applyAlignment="1">
      <alignment horizontal="center" vertical="top"/>
    </xf>
    <xf numFmtId="1" fontId="89" fillId="15" borderId="34" xfId="0" applyNumberFormat="1" applyFont="1" applyFill="1" applyBorder="1" applyAlignment="1">
      <alignment horizontal="center" vertical="center"/>
    </xf>
    <xf numFmtId="1" fontId="233" fillId="15" borderId="28" xfId="0" applyNumberFormat="1" applyFont="1" applyFill="1" applyBorder="1" applyAlignment="1">
      <alignment horizontal="center" vertical="center"/>
    </xf>
    <xf numFmtId="1" fontId="233" fillId="15" borderId="38" xfId="0" applyNumberFormat="1" applyFont="1" applyFill="1" applyBorder="1" applyAlignment="1">
      <alignment horizontal="center" vertical="center"/>
    </xf>
    <xf numFmtId="1" fontId="233" fillId="15" borderId="39" xfId="0" applyNumberFormat="1" applyFont="1" applyFill="1" applyBorder="1" applyAlignment="1">
      <alignment horizontal="center" vertical="center"/>
    </xf>
    <xf numFmtId="1" fontId="233" fillId="15" borderId="29" xfId="0" applyNumberFormat="1" applyFont="1" applyFill="1" applyBorder="1" applyAlignment="1">
      <alignment horizontal="center" vertical="center"/>
    </xf>
    <xf numFmtId="0" fontId="244" fillId="2" borderId="0" xfId="4" applyFont="1" applyFill="1" applyAlignment="1">
      <alignment horizontal="left" vertical="center"/>
    </xf>
    <xf numFmtId="0" fontId="66" fillId="2" borderId="0" xfId="0" applyFont="1" applyFill="1" applyAlignment="1">
      <alignment horizontal="left" vertical="center"/>
    </xf>
    <xf numFmtId="0" fontId="47" fillId="2" borderId="0" xfId="4" applyFont="1" applyFill="1" applyAlignment="1">
      <alignment horizontal="right" vertical="center"/>
    </xf>
    <xf numFmtId="0" fontId="47" fillId="2" borderId="3" xfId="4" applyFont="1" applyFill="1" applyBorder="1" applyAlignment="1">
      <alignment horizontal="right" vertical="center"/>
    </xf>
    <xf numFmtId="0" fontId="70" fillId="2" borderId="0" xfId="1" applyFont="1" applyFill="1" applyBorder="1" applyAlignment="1" applyProtection="1">
      <alignment horizontal="left" vertical="center"/>
    </xf>
    <xf numFmtId="0" fontId="106" fillId="2" borderId="0" xfId="4" applyFont="1" applyFill="1" applyAlignment="1">
      <alignment horizontal="right" vertical="center"/>
    </xf>
    <xf numFmtId="0" fontId="0" fillId="0" borderId="0" xfId="0"/>
    <xf numFmtId="0" fontId="0" fillId="0" borderId="3" xfId="0" applyBorder="1"/>
    <xf numFmtId="0" fontId="89" fillId="2" borderId="0" xfId="4" applyFont="1" applyFill="1" applyAlignment="1">
      <alignment horizontal="right" vertical="center"/>
    </xf>
    <xf numFmtId="0" fontId="111" fillId="2" borderId="119" xfId="4" applyFont="1" applyFill="1" applyBorder="1" applyAlignment="1">
      <alignment horizontal="left" vertical="center"/>
    </xf>
    <xf numFmtId="0" fontId="111" fillId="2" borderId="117" xfId="4" applyFont="1" applyFill="1" applyBorder="1" applyAlignment="1">
      <alignment horizontal="left" vertical="center"/>
    </xf>
    <xf numFmtId="0" fontId="105" fillId="2" borderId="119" xfId="4" applyFont="1" applyFill="1" applyBorder="1" applyAlignment="1">
      <alignment horizontal="left" vertical="center"/>
    </xf>
    <xf numFmtId="0" fontId="105" fillId="2" borderId="117" xfId="4" applyFont="1" applyFill="1" applyBorder="1" applyAlignment="1">
      <alignment horizontal="left" vertical="center"/>
    </xf>
    <xf numFmtId="0" fontId="105" fillId="2" borderId="118" xfId="4" applyFont="1" applyFill="1" applyBorder="1" applyAlignment="1">
      <alignment horizontal="left" vertical="center"/>
    </xf>
    <xf numFmtId="0" fontId="101" fillId="2" borderId="0" xfId="4" applyFont="1" applyFill="1" applyAlignment="1">
      <alignment horizontal="right" vertical="center"/>
    </xf>
    <xf numFmtId="0" fontId="101" fillId="2" borderId="3" xfId="4" applyFont="1" applyFill="1" applyBorder="1" applyAlignment="1">
      <alignment horizontal="right" vertical="center"/>
    </xf>
    <xf numFmtId="0" fontId="66" fillId="2" borderId="105" xfId="0" applyFont="1" applyFill="1" applyBorder="1" applyAlignment="1">
      <alignment horizontal="left" vertical="center"/>
    </xf>
    <xf numFmtId="0" fontId="111" fillId="2" borderId="119" xfId="7" applyFont="1" applyFill="1" applyBorder="1" applyAlignment="1">
      <alignment horizontal="left" vertical="center"/>
    </xf>
    <xf numFmtId="0" fontId="111" fillId="2" borderId="117" xfId="7" applyFont="1" applyFill="1" applyBorder="1" applyAlignment="1">
      <alignment horizontal="left" vertical="center"/>
    </xf>
    <xf numFmtId="0" fontId="111" fillId="2" borderId="118" xfId="7" applyFont="1" applyFill="1" applyBorder="1" applyAlignment="1">
      <alignment horizontal="left" vertical="center"/>
    </xf>
    <xf numFmtId="0" fontId="274" fillId="2" borderId="0" xfId="1" applyFont="1" applyFill="1" applyBorder="1" applyAlignment="1" applyProtection="1">
      <alignment horizontal="center" vertical="top"/>
    </xf>
    <xf numFmtId="0" fontId="111" fillId="2" borderId="125" xfId="7" applyFont="1" applyFill="1" applyBorder="1" applyAlignment="1">
      <alignment horizontal="left" vertical="center"/>
    </xf>
    <xf numFmtId="0" fontId="111" fillId="2" borderId="124" xfId="7" applyFont="1" applyFill="1" applyBorder="1" applyAlignment="1">
      <alignment horizontal="left" vertical="center"/>
    </xf>
    <xf numFmtId="0" fontId="111" fillId="2" borderId="123" xfId="7" applyFont="1" applyFill="1" applyBorder="1" applyAlignment="1">
      <alignment horizontal="left" vertical="center"/>
    </xf>
    <xf numFmtId="0" fontId="54" fillId="2" borderId="0" xfId="4" applyFont="1" applyFill="1" applyAlignment="1">
      <alignment horizontal="right" vertical="center"/>
    </xf>
    <xf numFmtId="0" fontId="54" fillId="2" borderId="3" xfId="4" applyFont="1" applyFill="1" applyBorder="1" applyAlignment="1">
      <alignment horizontal="right" vertical="center"/>
    </xf>
    <xf numFmtId="0" fontId="120" fillId="2" borderId="0" xfId="1" applyFont="1" applyFill="1" applyBorder="1" applyAlignment="1" applyProtection="1">
      <alignment horizontal="center" vertical="center"/>
    </xf>
    <xf numFmtId="0" fontId="115" fillId="2" borderId="0" xfId="4" applyFont="1" applyFill="1" applyAlignment="1">
      <alignment horizontal="center" vertical="center"/>
    </xf>
    <xf numFmtId="0" fontId="128" fillId="2" borderId="0" xfId="4" applyFont="1" applyFill="1" applyAlignment="1">
      <alignment horizontal="center" vertical="center"/>
    </xf>
    <xf numFmtId="0" fontId="54" fillId="2" borderId="0" xfId="4" applyFont="1" applyFill="1" applyAlignment="1">
      <alignment horizontal="right"/>
    </xf>
    <xf numFmtId="0" fontId="264" fillId="0" borderId="0" xfId="0" applyFont="1"/>
    <xf numFmtId="0" fontId="41" fillId="2" borderId="0" xfId="0" applyFont="1" applyFill="1" applyAlignment="1">
      <alignment horizontal="center"/>
    </xf>
    <xf numFmtId="0" fontId="57" fillId="0" borderId="0" xfId="0" applyFont="1" applyAlignment="1">
      <alignment horizontal="center"/>
    </xf>
    <xf numFmtId="0" fontId="128" fillId="2" borderId="0" xfId="4" applyFont="1" applyFill="1" applyAlignment="1">
      <alignment horizontal="left" vertical="center"/>
    </xf>
    <xf numFmtId="0" fontId="107" fillId="2" borderId="119" xfId="7" applyFont="1" applyFill="1" applyBorder="1" applyAlignment="1">
      <alignment horizontal="left" vertical="center"/>
    </xf>
    <xf numFmtId="0" fontId="107" fillId="2" borderId="117" xfId="7" applyFont="1" applyFill="1" applyBorder="1" applyAlignment="1">
      <alignment horizontal="left" vertical="center"/>
    </xf>
    <xf numFmtId="0" fontId="107" fillId="2" borderId="118" xfId="7" applyFont="1" applyFill="1" applyBorder="1" applyAlignment="1">
      <alignment horizontal="left" vertical="center"/>
    </xf>
    <xf numFmtId="0" fontId="111" fillId="2" borderId="120" xfId="7" applyFont="1" applyFill="1" applyBorder="1" applyAlignment="1">
      <alignment horizontal="left" vertical="center"/>
    </xf>
    <xf numFmtId="0" fontId="111" fillId="2" borderId="121" xfId="7" applyFont="1" applyFill="1" applyBorder="1" applyAlignment="1">
      <alignment horizontal="left" vertical="center"/>
    </xf>
    <xf numFmtId="0" fontId="111" fillId="2" borderId="122" xfId="7" applyFont="1" applyFill="1" applyBorder="1" applyAlignment="1">
      <alignment horizontal="left" vertical="center"/>
    </xf>
    <xf numFmtId="0" fontId="45" fillId="2" borderId="0" xfId="4" applyFont="1" applyFill="1" applyAlignment="1">
      <alignment horizontal="right" vertical="center"/>
    </xf>
    <xf numFmtId="0" fontId="45" fillId="2" borderId="3" xfId="4" applyFont="1" applyFill="1" applyBorder="1" applyAlignment="1">
      <alignment horizontal="right" vertical="center"/>
    </xf>
    <xf numFmtId="0" fontId="114" fillId="2" borderId="0" xfId="4" applyFont="1" applyFill="1" applyAlignment="1">
      <alignment horizontal="center" vertical="center"/>
    </xf>
    <xf numFmtId="0" fontId="64" fillId="2" borderId="0" xfId="4" applyFont="1" applyFill="1" applyAlignment="1">
      <alignment horizontal="center" vertical="center"/>
    </xf>
    <xf numFmtId="164" fontId="51" fillId="2" borderId="0" xfId="0" quotePrefix="1" applyNumberFormat="1" applyFont="1" applyFill="1" applyAlignment="1">
      <alignment horizontal="center" vertical="center"/>
    </xf>
    <xf numFmtId="0" fontId="105" fillId="2" borderId="117" xfId="7" applyFont="1" applyFill="1" applyBorder="1" applyAlignment="1">
      <alignment horizontal="left" vertical="center"/>
    </xf>
    <xf numFmtId="0" fontId="105" fillId="2" borderId="118" xfId="7" applyFont="1" applyFill="1" applyBorder="1" applyAlignment="1">
      <alignment horizontal="left" vertical="center"/>
    </xf>
    <xf numFmtId="0" fontId="72" fillId="2" borderId="0" xfId="4" applyFont="1" applyFill="1" applyAlignment="1">
      <alignment horizontal="left" vertical="center"/>
    </xf>
    <xf numFmtId="0" fontId="105" fillId="0" borderId="119" xfId="4" applyFont="1" applyBorder="1" applyAlignment="1">
      <alignment horizontal="left" vertical="center"/>
    </xf>
    <xf numFmtId="0" fontId="105" fillId="0" borderId="117" xfId="4" applyFont="1" applyBorder="1" applyAlignment="1">
      <alignment horizontal="left" vertical="center"/>
    </xf>
    <xf numFmtId="0" fontId="105" fillId="0" borderId="118" xfId="4" applyFont="1" applyBorder="1" applyAlignment="1">
      <alignment horizontal="left" vertical="center"/>
    </xf>
    <xf numFmtId="0" fontId="110" fillId="0" borderId="119" xfId="4" applyFont="1" applyBorder="1" applyAlignment="1">
      <alignment horizontal="center" vertical="center"/>
    </xf>
    <xf numFmtId="0" fontId="110" fillId="0" borderId="124" xfId="4" applyFont="1" applyBorder="1" applyAlignment="1">
      <alignment horizontal="center" vertical="center"/>
    </xf>
    <xf numFmtId="0" fontId="110" fillId="0" borderId="123" xfId="4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2" fontId="69" fillId="2" borderId="0" xfId="1" applyNumberFormat="1" applyFont="1" applyFill="1" applyBorder="1" applyAlignment="1" applyProtection="1">
      <alignment horizontal="center" vertical="center"/>
    </xf>
    <xf numFmtId="0" fontId="66" fillId="2" borderId="0" xfId="0" applyFont="1" applyFill="1" applyAlignment="1">
      <alignment vertical="center"/>
    </xf>
    <xf numFmtId="0" fontId="89" fillId="2" borderId="2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 vertical="center"/>
    </xf>
    <xf numFmtId="0" fontId="263" fillId="2" borderId="14" xfId="4" applyFont="1" applyFill="1" applyBorder="1" applyAlignment="1">
      <alignment horizontal="left" vertical="center"/>
    </xf>
    <xf numFmtId="0" fontId="256" fillId="0" borderId="105" xfId="0" applyFont="1" applyBorder="1" applyAlignment="1">
      <alignment horizontal="left"/>
    </xf>
    <xf numFmtId="0" fontId="256" fillId="0" borderId="15" xfId="0" applyFont="1" applyBorder="1" applyAlignment="1">
      <alignment horizontal="left"/>
    </xf>
    <xf numFmtId="0" fontId="84" fillId="2" borderId="14" xfId="4" applyFont="1" applyFill="1" applyBorder="1" applyAlignment="1">
      <alignment horizontal="center" vertical="center"/>
    </xf>
    <xf numFmtId="0" fontId="84" fillId="2" borderId="105" xfId="4" applyFont="1" applyFill="1" applyBorder="1" applyAlignment="1">
      <alignment horizontal="center" vertical="center"/>
    </xf>
    <xf numFmtId="0" fontId="84" fillId="2" borderId="15" xfId="4" applyFont="1" applyFill="1" applyBorder="1" applyAlignment="1">
      <alignment horizontal="center" vertical="center"/>
    </xf>
    <xf numFmtId="0" fontId="110" fillId="0" borderId="117" xfId="4" applyFont="1" applyBorder="1" applyAlignment="1">
      <alignment horizontal="center" vertical="center"/>
    </xf>
    <xf numFmtId="0" fontId="110" fillId="0" borderId="118" xfId="4" applyFont="1" applyBorder="1" applyAlignment="1">
      <alignment horizontal="center" vertical="center"/>
    </xf>
    <xf numFmtId="0" fontId="86" fillId="2" borderId="0" xfId="0" applyFont="1" applyFill="1" applyAlignment="1">
      <alignment horizontal="right" vertical="center"/>
    </xf>
    <xf numFmtId="0" fontId="105" fillId="2" borderId="125" xfId="4" applyFont="1" applyFill="1" applyBorder="1" applyAlignment="1">
      <alignment horizontal="left" vertical="center"/>
    </xf>
    <xf numFmtId="0" fontId="105" fillId="2" borderId="124" xfId="4" applyFont="1" applyFill="1" applyBorder="1" applyAlignment="1">
      <alignment horizontal="left" vertical="center"/>
    </xf>
    <xf numFmtId="0" fontId="105" fillId="2" borderId="123" xfId="4" applyFont="1" applyFill="1" applyBorder="1" applyAlignment="1">
      <alignment horizontal="left" vertical="center"/>
    </xf>
    <xf numFmtId="0" fontId="120" fillId="2" borderId="5" xfId="1" applyFont="1" applyFill="1" applyBorder="1" applyAlignment="1" applyProtection="1">
      <alignment horizontal="center" vertical="center"/>
    </xf>
    <xf numFmtId="0" fontId="120" fillId="2" borderId="6" xfId="1" applyFont="1" applyFill="1" applyBorder="1" applyAlignment="1" applyProtection="1">
      <alignment horizontal="center" vertical="center"/>
    </xf>
    <xf numFmtId="0" fontId="120" fillId="2" borderId="7" xfId="1" applyFont="1" applyFill="1" applyBorder="1" applyAlignment="1" applyProtection="1">
      <alignment horizontal="center" vertical="center"/>
    </xf>
    <xf numFmtId="165" fontId="105" fillId="2" borderId="119" xfId="4" applyNumberFormat="1" applyFont="1" applyFill="1" applyBorder="1" applyAlignment="1">
      <alignment horizontal="left" vertical="center"/>
    </xf>
    <xf numFmtId="165" fontId="105" fillId="2" borderId="117" xfId="4" applyNumberFormat="1" applyFont="1" applyFill="1" applyBorder="1" applyAlignment="1">
      <alignment horizontal="left" vertical="center"/>
    </xf>
    <xf numFmtId="165" fontId="105" fillId="2" borderId="118" xfId="4" applyNumberFormat="1" applyFont="1" applyFill="1" applyBorder="1" applyAlignment="1">
      <alignment horizontal="left" vertical="center"/>
    </xf>
    <xf numFmtId="165" fontId="117" fillId="2" borderId="125" xfId="0" applyNumberFormat="1" applyFont="1" applyFill="1" applyBorder="1" applyAlignment="1">
      <alignment horizontal="center" vertical="center"/>
    </xf>
    <xf numFmtId="165" fontId="117" fillId="2" borderId="124" xfId="0" applyNumberFormat="1" applyFont="1" applyFill="1" applyBorder="1" applyAlignment="1">
      <alignment horizontal="center" vertical="center"/>
    </xf>
    <xf numFmtId="165" fontId="117" fillId="2" borderId="123" xfId="0" applyNumberFormat="1" applyFont="1" applyFill="1" applyBorder="1" applyAlignment="1">
      <alignment horizontal="center" vertical="center"/>
    </xf>
    <xf numFmtId="164" fontId="84" fillId="2" borderId="2" xfId="0" applyNumberFormat="1" applyFont="1" applyFill="1" applyBorder="1" applyAlignment="1">
      <alignment horizontal="center" vertical="center"/>
    </xf>
    <xf numFmtId="164" fontId="84" fillId="2" borderId="0" xfId="0" applyNumberFormat="1" applyFont="1" applyFill="1" applyAlignment="1">
      <alignment horizontal="center" vertical="center"/>
    </xf>
    <xf numFmtId="164" fontId="84" fillId="2" borderId="3" xfId="0" applyNumberFormat="1" applyFont="1" applyFill="1" applyBorder="1" applyAlignment="1">
      <alignment horizontal="center" vertical="center"/>
    </xf>
    <xf numFmtId="0" fontId="105" fillId="2" borderId="119" xfId="4" applyFont="1" applyFill="1" applyBorder="1" applyAlignment="1">
      <alignment horizontal="center" vertical="center"/>
    </xf>
    <xf numFmtId="0" fontId="105" fillId="2" borderId="117" xfId="4" applyFont="1" applyFill="1" applyBorder="1" applyAlignment="1">
      <alignment horizontal="center" vertical="center"/>
    </xf>
    <xf numFmtId="0" fontId="105" fillId="2" borderId="118" xfId="4" applyFont="1" applyFill="1" applyBorder="1" applyAlignment="1">
      <alignment horizontal="center" vertical="center"/>
    </xf>
    <xf numFmtId="0" fontId="39" fillId="2" borderId="0" xfId="0" quotePrefix="1" applyFont="1" applyFill="1" applyAlignment="1">
      <alignment horizontal="left" vertical="center"/>
    </xf>
    <xf numFmtId="166" fontId="24" fillId="2" borderId="8" xfId="0" applyNumberFormat="1" applyFont="1" applyFill="1" applyBorder="1" applyAlignment="1">
      <alignment horizontal="right" vertical="center"/>
    </xf>
    <xf numFmtId="0" fontId="33" fillId="4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223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201" fillId="2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 vertical="center"/>
    </xf>
    <xf numFmtId="0" fontId="85" fillId="2" borderId="0" xfId="0" applyFont="1" applyFill="1" applyAlignment="1">
      <alignment horizontal="right" vertical="center"/>
    </xf>
    <xf numFmtId="166" fontId="24" fillId="2" borderId="0" xfId="0" applyNumberFormat="1" applyFont="1" applyFill="1" applyAlignment="1">
      <alignment horizontal="right" vertical="center"/>
    </xf>
    <xf numFmtId="0" fontId="30" fillId="2" borderId="0" xfId="0" applyFont="1" applyFill="1" applyAlignment="1">
      <alignment horizontal="left"/>
    </xf>
    <xf numFmtId="0" fontId="2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55" fillId="33" borderId="0" xfId="0" applyFont="1" applyFill="1" applyAlignment="1">
      <alignment horizontal="center"/>
    </xf>
    <xf numFmtId="0" fontId="255" fillId="33" borderId="126" xfId="0" applyFont="1" applyFill="1" applyBorder="1" applyAlignment="1">
      <alignment horizontal="center"/>
    </xf>
    <xf numFmtId="0" fontId="255" fillId="33" borderId="127" xfId="0" applyFont="1" applyFill="1" applyBorder="1" applyAlignment="1">
      <alignment horizontal="center"/>
    </xf>
    <xf numFmtId="0" fontId="255" fillId="33" borderId="128" xfId="0" applyFont="1" applyFill="1" applyBorder="1" applyAlignment="1">
      <alignment horizontal="center"/>
    </xf>
    <xf numFmtId="0" fontId="255" fillId="33" borderId="129" xfId="0" applyFont="1" applyFill="1" applyBorder="1" applyAlignment="1">
      <alignment horizontal="center"/>
    </xf>
    <xf numFmtId="0" fontId="33" fillId="4" borderId="0" xfId="0" applyFont="1" applyFill="1" applyAlignment="1">
      <alignment horizontal="center" vertical="center"/>
    </xf>
    <xf numFmtId="0" fontId="54" fillId="2" borderId="65" xfId="0" applyFont="1" applyFill="1" applyBorder="1" applyAlignment="1">
      <alignment horizontal="center" vertical="center"/>
    </xf>
    <xf numFmtId="0" fontId="54" fillId="2" borderId="69" xfId="0" applyFont="1" applyFill="1" applyBorder="1" applyAlignment="1">
      <alignment horizontal="center" vertical="center"/>
    </xf>
    <xf numFmtId="0" fontId="81" fillId="2" borderId="60" xfId="0" applyFont="1" applyFill="1" applyBorder="1" applyAlignment="1">
      <alignment horizontal="center" vertical="center"/>
    </xf>
    <xf numFmtId="0" fontId="81" fillId="2" borderId="62" xfId="0" applyFont="1" applyFill="1" applyBorder="1" applyAlignment="1">
      <alignment horizontal="center" vertical="center"/>
    </xf>
    <xf numFmtId="0" fontId="81" fillId="2" borderId="44" xfId="0" applyFont="1" applyFill="1" applyBorder="1" applyAlignment="1">
      <alignment horizontal="center" vertical="center"/>
    </xf>
    <xf numFmtId="0" fontId="81" fillId="2" borderId="45" xfId="0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center" vertical="center"/>
    </xf>
    <xf numFmtId="0" fontId="81" fillId="2" borderId="3" xfId="0" applyFont="1" applyFill="1" applyBorder="1" applyAlignment="1">
      <alignment horizontal="center" vertical="center"/>
    </xf>
    <xf numFmtId="0" fontId="152" fillId="6" borderId="30" xfId="0" applyFont="1" applyFill="1" applyBorder="1" applyAlignment="1">
      <alignment horizontal="center" vertical="center"/>
    </xf>
    <xf numFmtId="0" fontId="152" fillId="6" borderId="31" xfId="0" applyFont="1" applyFill="1" applyBorder="1" applyAlignment="1">
      <alignment horizontal="center" vertical="center"/>
    </xf>
    <xf numFmtId="0" fontId="158" fillId="2" borderId="140" xfId="0" applyFont="1" applyFill="1" applyBorder="1" applyAlignment="1">
      <alignment horizontal="right" vertical="center"/>
    </xf>
    <xf numFmtId="0" fontId="158" fillId="2" borderId="26" xfId="0" applyFont="1" applyFill="1" applyBorder="1" applyAlignment="1">
      <alignment horizontal="right" vertical="center"/>
    </xf>
    <xf numFmtId="0" fontId="158" fillId="2" borderId="27" xfId="0" applyFont="1" applyFill="1" applyBorder="1" applyAlignment="1">
      <alignment horizontal="right" vertical="center"/>
    </xf>
    <xf numFmtId="0" fontId="158" fillId="2" borderId="94" xfId="0" applyFont="1" applyFill="1" applyBorder="1" applyAlignment="1">
      <alignment horizontal="right" vertical="center"/>
    </xf>
    <xf numFmtId="0" fontId="158" fillId="2" borderId="16" xfId="0" applyFont="1" applyFill="1" applyBorder="1" applyAlignment="1">
      <alignment horizontal="right" vertical="center"/>
    </xf>
    <xf numFmtId="0" fontId="158" fillId="2" borderId="20" xfId="0" applyFont="1" applyFill="1" applyBorder="1" applyAlignment="1">
      <alignment horizontal="right" vertical="center"/>
    </xf>
    <xf numFmtId="0" fontId="156" fillId="2" borderId="94" xfId="0" applyFont="1" applyFill="1" applyBorder="1" applyAlignment="1">
      <alignment horizontal="right" vertical="center"/>
    </xf>
    <xf numFmtId="0" fontId="156" fillId="2" borderId="16" xfId="0" applyFont="1" applyFill="1" applyBorder="1" applyAlignment="1">
      <alignment horizontal="right" vertical="center"/>
    </xf>
    <xf numFmtId="0" fontId="156" fillId="2" borderId="20" xfId="0" applyFont="1" applyFill="1" applyBorder="1" applyAlignment="1">
      <alignment horizontal="right" vertical="center"/>
    </xf>
    <xf numFmtId="0" fontId="156" fillId="2" borderId="141" xfId="0" applyFont="1" applyFill="1" applyBorder="1" applyAlignment="1">
      <alignment horizontal="right" vertical="center"/>
    </xf>
    <xf numFmtId="0" fontId="156" fillId="2" borderId="23" xfId="0" applyFont="1" applyFill="1" applyBorder="1" applyAlignment="1">
      <alignment horizontal="right" vertical="center"/>
    </xf>
    <xf numFmtId="0" fontId="156" fillId="2" borderId="24" xfId="0" applyFont="1" applyFill="1" applyBorder="1" applyAlignment="1">
      <alignment horizontal="right" vertical="center"/>
    </xf>
    <xf numFmtId="0" fontId="156" fillId="6" borderId="93" xfId="5" applyFont="1" applyFill="1" applyBorder="1" applyAlignment="1">
      <alignment horizontal="right" vertical="center"/>
    </xf>
    <xf numFmtId="0" fontId="156" fillId="6" borderId="21" xfId="5" applyFont="1" applyFill="1" applyBorder="1" applyAlignment="1">
      <alignment horizontal="right" vertical="center"/>
    </xf>
    <xf numFmtId="0" fontId="156" fillId="6" borderId="89" xfId="5" applyFont="1" applyFill="1" applyBorder="1" applyAlignment="1">
      <alignment horizontal="right" vertical="center"/>
    </xf>
    <xf numFmtId="0" fontId="156" fillId="6" borderId="107" xfId="5" applyFont="1" applyFill="1" applyBorder="1" applyAlignment="1">
      <alignment horizontal="right" vertical="center"/>
    </xf>
    <xf numFmtId="0" fontId="156" fillId="6" borderId="35" xfId="5" applyFont="1" applyFill="1" applyBorder="1" applyAlignment="1">
      <alignment horizontal="right" vertical="center"/>
    </xf>
    <xf numFmtId="0" fontId="156" fillId="6" borderId="97" xfId="5" applyFont="1" applyFill="1" applyBorder="1" applyAlignment="1">
      <alignment horizontal="right" vertical="center"/>
    </xf>
    <xf numFmtId="0" fontId="156" fillId="6" borderId="93" xfId="5" applyFont="1" applyFill="1" applyBorder="1" applyAlignment="1">
      <alignment horizontal="center" vertical="center"/>
    </xf>
    <xf numFmtId="0" fontId="156" fillId="6" borderId="21" xfId="5" applyFont="1" applyFill="1" applyBorder="1" applyAlignment="1">
      <alignment horizontal="center" vertical="center"/>
    </xf>
    <xf numFmtId="0" fontId="156" fillId="6" borderId="89" xfId="5" applyFont="1" applyFill="1" applyBorder="1" applyAlignment="1">
      <alignment horizontal="center" vertical="center"/>
    </xf>
    <xf numFmtId="0" fontId="156" fillId="6" borderId="107" xfId="5" applyFont="1" applyFill="1" applyBorder="1" applyAlignment="1">
      <alignment horizontal="center" vertical="center"/>
    </xf>
    <xf numFmtId="0" fontId="156" fillId="6" borderId="35" xfId="5" applyFont="1" applyFill="1" applyBorder="1" applyAlignment="1">
      <alignment horizontal="center" vertical="center"/>
    </xf>
    <xf numFmtId="0" fontId="156" fillId="6" borderId="97" xfId="5" applyFont="1" applyFill="1" applyBorder="1" applyAlignment="1">
      <alignment horizontal="center" vertical="center"/>
    </xf>
    <xf numFmtId="0" fontId="101" fillId="5" borderId="14" xfId="0" applyFont="1" applyFill="1" applyBorder="1" applyAlignment="1">
      <alignment horizontal="center" vertical="center"/>
    </xf>
    <xf numFmtId="0" fontId="101" fillId="5" borderId="117" xfId="0" applyFont="1" applyFill="1" applyBorder="1" applyAlignment="1">
      <alignment horizontal="center" vertical="center"/>
    </xf>
    <xf numFmtId="0" fontId="101" fillId="5" borderId="118" xfId="0" applyFont="1" applyFill="1" applyBorder="1" applyAlignment="1">
      <alignment horizontal="center" vertical="center"/>
    </xf>
    <xf numFmtId="0" fontId="278" fillId="5" borderId="68" xfId="0" applyFont="1" applyFill="1" applyBorder="1" applyAlignment="1">
      <alignment horizontal="center" vertical="center"/>
    </xf>
    <xf numFmtId="0" fontId="278" fillId="5" borderId="65" xfId="0" applyFont="1" applyFill="1" applyBorder="1" applyAlignment="1">
      <alignment horizontal="center" vertical="center"/>
    </xf>
    <xf numFmtId="0" fontId="278" fillId="5" borderId="69" xfId="0" applyFont="1" applyFill="1" applyBorder="1" applyAlignment="1">
      <alignment horizontal="center" vertical="center"/>
    </xf>
    <xf numFmtId="0" fontId="158" fillId="2" borderId="21" xfId="0" applyFont="1" applyFill="1" applyBorder="1" applyAlignment="1">
      <alignment horizontal="right" vertical="center"/>
    </xf>
    <xf numFmtId="0" fontId="158" fillId="2" borderId="33" xfId="0" applyFont="1" applyFill="1" applyBorder="1" applyAlignment="1">
      <alignment horizontal="right" vertical="center"/>
    </xf>
    <xf numFmtId="164" fontId="297" fillId="2" borderId="0" xfId="0" applyNumberFormat="1" applyFont="1" applyFill="1" applyAlignment="1">
      <alignment horizontal="right" vertical="center"/>
    </xf>
    <xf numFmtId="164" fontId="297" fillId="2" borderId="3" xfId="0" applyNumberFormat="1" applyFont="1" applyFill="1" applyBorder="1" applyAlignment="1">
      <alignment horizontal="right" vertical="center"/>
    </xf>
    <xf numFmtId="0" fontId="237" fillId="34" borderId="117" xfId="0" applyFont="1" applyFill="1" applyBorder="1" applyAlignment="1">
      <alignment horizontal="center" vertical="center"/>
    </xf>
    <xf numFmtId="0" fontId="237" fillId="34" borderId="118" xfId="0" applyFont="1" applyFill="1" applyBorder="1" applyAlignment="1">
      <alignment horizontal="center" vertical="center"/>
    </xf>
    <xf numFmtId="164" fontId="297" fillId="2" borderId="54" xfId="0" applyNumberFormat="1" applyFont="1" applyFill="1" applyBorder="1" applyAlignment="1">
      <alignment horizontal="right" vertical="center"/>
    </xf>
    <xf numFmtId="164" fontId="297" fillId="2" borderId="41" xfId="0" applyNumberFormat="1" applyFont="1" applyFill="1" applyBorder="1" applyAlignment="1">
      <alignment horizontal="right" vertical="center"/>
    </xf>
    <xf numFmtId="164" fontId="297" fillId="2" borderId="21" xfId="0" applyNumberFormat="1" applyFont="1" applyFill="1" applyBorder="1" applyAlignment="1">
      <alignment horizontal="right" vertical="center"/>
    </xf>
    <xf numFmtId="164" fontId="297" fillId="2" borderId="33" xfId="0" applyNumberFormat="1" applyFont="1" applyFill="1" applyBorder="1" applyAlignment="1">
      <alignment horizontal="right" vertical="center"/>
    </xf>
    <xf numFmtId="164" fontId="297" fillId="2" borderId="16" xfId="0" applyNumberFormat="1" applyFont="1" applyFill="1" applyBorder="1" applyAlignment="1">
      <alignment horizontal="right" vertical="center"/>
    </xf>
    <xf numFmtId="164" fontId="297" fillId="2" borderId="20" xfId="0" applyNumberFormat="1" applyFont="1" applyFill="1" applyBorder="1" applyAlignment="1">
      <alignment horizontal="right" vertical="center"/>
    </xf>
    <xf numFmtId="164" fontId="297" fillId="2" borderId="35" xfId="0" applyNumberFormat="1" applyFont="1" applyFill="1" applyBorder="1" applyAlignment="1">
      <alignment horizontal="right" vertical="center"/>
    </xf>
    <xf numFmtId="164" fontId="297" fillId="2" borderId="31" xfId="0" applyNumberFormat="1" applyFont="1" applyFill="1" applyBorder="1" applyAlignment="1">
      <alignment horizontal="right" vertical="center"/>
    </xf>
    <xf numFmtId="0" fontId="144" fillId="10" borderId="0" xfId="0" applyFont="1" applyFill="1" applyAlignment="1">
      <alignment horizontal="center"/>
    </xf>
    <xf numFmtId="0" fontId="301" fillId="10" borderId="0" xfId="0" quotePrefix="1" applyFont="1" applyFill="1" applyAlignment="1">
      <alignment horizontal="left"/>
    </xf>
    <xf numFmtId="0" fontId="301" fillId="10" borderId="3" xfId="0" applyFont="1" applyFill="1" applyBorder="1" applyAlignment="1">
      <alignment horizontal="left"/>
    </xf>
    <xf numFmtId="0" fontId="5" fillId="24" borderId="2" xfId="0" applyFont="1" applyFill="1" applyBorder="1" applyAlignment="1">
      <alignment horizontal="right"/>
    </xf>
    <xf numFmtId="0" fontId="5" fillId="24" borderId="0" xfId="0" applyFont="1" applyFill="1" applyAlignment="1">
      <alignment horizontal="right"/>
    </xf>
    <xf numFmtId="0" fontId="5" fillId="24" borderId="3" xfId="0" applyFont="1" applyFill="1" applyBorder="1" applyAlignment="1">
      <alignment horizontal="right"/>
    </xf>
    <xf numFmtId="164" fontId="296" fillId="2" borderId="19" xfId="0" applyNumberFormat="1" applyFont="1" applyFill="1" applyBorder="1" applyAlignment="1">
      <alignment horizontal="right" vertical="center"/>
    </xf>
    <xf numFmtId="164" fontId="296" fillId="2" borderId="20" xfId="0" applyNumberFormat="1" applyFont="1" applyFill="1" applyBorder="1" applyAlignment="1">
      <alignment horizontal="right" vertical="center"/>
    </xf>
    <xf numFmtId="164" fontId="296" fillId="2" borderId="22" xfId="0" applyNumberFormat="1" applyFont="1" applyFill="1" applyBorder="1" applyAlignment="1">
      <alignment horizontal="right" vertical="center"/>
    </xf>
    <xf numFmtId="164" fontId="296" fillId="2" borderId="24" xfId="0" applyNumberFormat="1" applyFont="1" applyFill="1" applyBorder="1" applyAlignment="1">
      <alignment horizontal="right" vertical="center"/>
    </xf>
    <xf numFmtId="0" fontId="90" fillId="2" borderId="119" xfId="0" applyFont="1" applyFill="1" applyBorder="1" applyAlignment="1">
      <alignment horizontal="right" vertical="center"/>
    </xf>
    <xf numFmtId="0" fontId="90" fillId="2" borderId="117" xfId="0" applyFont="1" applyFill="1" applyBorder="1" applyAlignment="1">
      <alignment horizontal="right" vertical="center"/>
    </xf>
    <xf numFmtId="0" fontId="90" fillId="2" borderId="118" xfId="0" applyFont="1" applyFill="1" applyBorder="1" applyAlignment="1">
      <alignment horizontal="right" vertical="center"/>
    </xf>
    <xf numFmtId="164" fontId="90" fillId="2" borderId="117" xfId="0" applyNumberFormat="1" applyFont="1" applyFill="1" applyBorder="1" applyAlignment="1">
      <alignment horizontal="center" vertical="center"/>
    </xf>
    <xf numFmtId="164" fontId="90" fillId="2" borderId="119" xfId="0" applyNumberFormat="1" applyFont="1" applyFill="1" applyBorder="1" applyAlignment="1">
      <alignment horizontal="center" vertical="center"/>
    </xf>
    <xf numFmtId="0" fontId="5" fillId="24" borderId="125" xfId="0" applyFont="1" applyFill="1" applyBorder="1" applyAlignment="1">
      <alignment horizontal="right"/>
    </xf>
    <xf numFmtId="0" fontId="5" fillId="24" borderId="124" xfId="0" applyFont="1" applyFill="1" applyBorder="1" applyAlignment="1">
      <alignment horizontal="right"/>
    </xf>
    <xf numFmtId="0" fontId="5" fillId="24" borderId="123" xfId="0" applyFont="1" applyFill="1" applyBorder="1" applyAlignment="1">
      <alignment horizontal="right"/>
    </xf>
    <xf numFmtId="0" fontId="5" fillId="24" borderId="14" xfId="0" applyFont="1" applyFill="1" applyBorder="1" applyAlignment="1">
      <alignment horizontal="right"/>
    </xf>
    <xf numFmtId="0" fontId="5" fillId="24" borderId="105" xfId="0" applyFont="1" applyFill="1" applyBorder="1" applyAlignment="1">
      <alignment horizontal="right"/>
    </xf>
    <xf numFmtId="0" fontId="5" fillId="24" borderId="15" xfId="0" applyFont="1" applyFill="1" applyBorder="1" applyAlignment="1">
      <alignment horizontal="right"/>
    </xf>
    <xf numFmtId="164" fontId="296" fillId="2" borderId="30" xfId="0" applyNumberFormat="1" applyFont="1" applyFill="1" applyBorder="1" applyAlignment="1">
      <alignment horizontal="right" vertical="center"/>
    </xf>
    <xf numFmtId="164" fontId="296" fillId="2" borderId="31" xfId="0" applyNumberFormat="1" applyFont="1" applyFill="1" applyBorder="1" applyAlignment="1">
      <alignment horizontal="right" vertical="center"/>
    </xf>
    <xf numFmtId="164" fontId="296" fillId="2" borderId="2" xfId="0" applyNumberFormat="1" applyFont="1" applyFill="1" applyBorder="1" applyAlignment="1">
      <alignment horizontal="right" vertical="center"/>
    </xf>
    <xf numFmtId="164" fontId="296" fillId="2" borderId="3" xfId="0" applyNumberFormat="1" applyFont="1" applyFill="1" applyBorder="1" applyAlignment="1">
      <alignment horizontal="right" vertical="center"/>
    </xf>
    <xf numFmtId="0" fontId="2" fillId="24" borderId="2" xfId="0" applyFont="1" applyFill="1" applyBorder="1" applyAlignment="1">
      <alignment horizontal="right"/>
    </xf>
    <xf numFmtId="164" fontId="296" fillId="2" borderId="25" xfId="0" applyNumberFormat="1" applyFont="1" applyFill="1" applyBorder="1" applyAlignment="1">
      <alignment horizontal="right" vertical="center"/>
    </xf>
    <xf numFmtId="164" fontId="296" fillId="2" borderId="27" xfId="0" applyNumberFormat="1" applyFont="1" applyFill="1" applyBorder="1" applyAlignment="1">
      <alignment horizontal="right" vertical="center"/>
    </xf>
    <xf numFmtId="0" fontId="218" fillId="7" borderId="119" xfId="0" applyFont="1" applyFill="1" applyBorder="1" applyAlignment="1">
      <alignment horizontal="center" vertical="center"/>
    </xf>
    <xf numFmtId="0" fontId="218" fillId="7" borderId="117" xfId="0" applyFont="1" applyFill="1" applyBorder="1" applyAlignment="1">
      <alignment horizontal="center" vertical="center"/>
    </xf>
    <xf numFmtId="0" fontId="218" fillId="7" borderId="118" xfId="0" applyFont="1" applyFill="1" applyBorder="1" applyAlignment="1">
      <alignment horizontal="center" vertical="center"/>
    </xf>
    <xf numFmtId="2" fontId="91" fillId="2" borderId="0" xfId="0" applyNumberFormat="1" applyFont="1" applyFill="1" applyAlignment="1">
      <alignment horizontal="center" vertical="center"/>
    </xf>
    <xf numFmtId="2" fontId="91" fillId="2" borderId="3" xfId="0" applyNumberFormat="1" applyFont="1" applyFill="1" applyBorder="1" applyAlignment="1">
      <alignment horizontal="center" vertical="center"/>
    </xf>
    <xf numFmtId="0" fontId="241" fillId="34" borderId="117" xfId="0" applyFont="1" applyFill="1" applyBorder="1" applyAlignment="1">
      <alignment horizontal="center" vertical="center"/>
    </xf>
    <xf numFmtId="0" fontId="241" fillId="34" borderId="118" xfId="0" applyFont="1" applyFill="1" applyBorder="1" applyAlignment="1">
      <alignment horizontal="center" vertical="center"/>
    </xf>
    <xf numFmtId="0" fontId="218" fillId="7" borderId="14" xfId="0" applyFont="1" applyFill="1" applyBorder="1" applyAlignment="1">
      <alignment horizontal="center" vertical="center"/>
    </xf>
    <xf numFmtId="0" fontId="218" fillId="7" borderId="105" xfId="0" applyFont="1" applyFill="1" applyBorder="1" applyAlignment="1">
      <alignment horizontal="center" vertical="center"/>
    </xf>
    <xf numFmtId="0" fontId="218" fillId="7" borderId="15" xfId="0" applyFont="1" applyFill="1" applyBorder="1" applyAlignment="1">
      <alignment horizontal="center" vertical="center"/>
    </xf>
    <xf numFmtId="2" fontId="91" fillId="2" borderId="105" xfId="0" applyNumberFormat="1" applyFont="1" applyFill="1" applyBorder="1" applyAlignment="1">
      <alignment horizontal="center" vertical="center"/>
    </xf>
    <xf numFmtId="2" fontId="91" fillId="2" borderId="15" xfId="0" applyNumberFormat="1" applyFont="1" applyFill="1" applyBorder="1" applyAlignment="1">
      <alignment horizontal="center" vertical="center"/>
    </xf>
    <xf numFmtId="164" fontId="296" fillId="2" borderId="125" xfId="0" applyNumberFormat="1" applyFont="1" applyFill="1" applyBorder="1" applyAlignment="1">
      <alignment horizontal="right" vertical="center"/>
    </xf>
    <xf numFmtId="164" fontId="296" fillId="2" borderId="123" xfId="0" applyNumberFormat="1" applyFont="1" applyFill="1" applyBorder="1" applyAlignment="1">
      <alignment horizontal="right" vertical="center"/>
    </xf>
    <xf numFmtId="0" fontId="156" fillId="2" borderId="125" xfId="0" applyFont="1" applyFill="1" applyBorder="1" applyAlignment="1">
      <alignment horizontal="right" vertical="center"/>
    </xf>
    <xf numFmtId="0" fontId="156" fillId="2" borderId="124" xfId="0" applyFont="1" applyFill="1" applyBorder="1" applyAlignment="1">
      <alignment horizontal="right" vertical="center"/>
    </xf>
    <xf numFmtId="0" fontId="156" fillId="2" borderId="2" xfId="0" applyFont="1" applyFill="1" applyBorder="1" applyAlignment="1">
      <alignment horizontal="right" vertical="center"/>
    </xf>
    <xf numFmtId="0" fontId="156" fillId="2" borderId="0" xfId="0" applyFont="1" applyFill="1" applyAlignment="1">
      <alignment horizontal="right" vertical="center"/>
    </xf>
    <xf numFmtId="0" fontId="283" fillId="6" borderId="119" xfId="0" applyFont="1" applyFill="1" applyBorder="1" applyAlignment="1">
      <alignment horizontal="center" vertical="center"/>
    </xf>
    <xf numFmtId="0" fontId="283" fillId="6" borderId="118" xfId="0" applyFont="1" applyFill="1" applyBorder="1" applyAlignment="1">
      <alignment horizontal="center" vertical="center"/>
    </xf>
    <xf numFmtId="0" fontId="283" fillId="6" borderId="117" xfId="0" applyFont="1" applyFill="1" applyBorder="1" applyAlignment="1">
      <alignment horizontal="center" vertical="center"/>
    </xf>
    <xf numFmtId="164" fontId="142" fillId="2" borderId="19" xfId="0" applyNumberFormat="1" applyFont="1" applyFill="1" applyBorder="1" applyAlignment="1">
      <alignment horizontal="right" vertical="center"/>
    </xf>
    <xf numFmtId="164" fontId="142" fillId="2" borderId="20" xfId="0" applyNumberFormat="1" applyFont="1" applyFill="1" applyBorder="1" applyAlignment="1">
      <alignment horizontal="right" vertical="center"/>
    </xf>
    <xf numFmtId="0" fontId="150" fillId="2" borderId="2" xfId="0" applyFont="1" applyFill="1" applyBorder="1" applyAlignment="1">
      <alignment horizontal="center" vertical="center"/>
    </xf>
    <xf numFmtId="0" fontId="150" fillId="2" borderId="0" xfId="0" applyFont="1" applyFill="1" applyAlignment="1">
      <alignment horizontal="center" vertical="center"/>
    </xf>
    <xf numFmtId="0" fontId="150" fillId="2" borderId="3" xfId="0" applyFont="1" applyFill="1" applyBorder="1" applyAlignment="1">
      <alignment horizontal="center" vertical="center"/>
    </xf>
    <xf numFmtId="0" fontId="142" fillId="6" borderId="19" xfId="0" applyFont="1" applyFill="1" applyBorder="1" applyAlignment="1">
      <alignment horizontal="left" vertical="center"/>
    </xf>
    <xf numFmtId="0" fontId="142" fillId="6" borderId="16" xfId="0" applyFont="1" applyFill="1" applyBorder="1" applyAlignment="1">
      <alignment horizontal="left" vertical="center"/>
    </xf>
    <xf numFmtId="0" fontId="142" fillId="6" borderId="20" xfId="0" applyFont="1" applyFill="1" applyBorder="1" applyAlignment="1">
      <alignment horizontal="left" vertical="center"/>
    </xf>
    <xf numFmtId="0" fontId="164" fillId="2" borderId="125" xfId="0" applyFont="1" applyFill="1" applyBorder="1" applyAlignment="1">
      <alignment horizontal="center"/>
    </xf>
    <xf numFmtId="0" fontId="164" fillId="2" borderId="123" xfId="0" applyFont="1" applyFill="1" applyBorder="1" applyAlignment="1">
      <alignment horizontal="center"/>
    </xf>
    <xf numFmtId="0" fontId="144" fillId="10" borderId="2" xfId="0" applyFont="1" applyFill="1" applyBorder="1" applyAlignment="1">
      <alignment horizontal="center" vertical="center"/>
    </xf>
    <xf numFmtId="0" fontId="144" fillId="10" borderId="0" xfId="0" applyFont="1" applyFill="1" applyAlignment="1">
      <alignment horizontal="center" vertical="center"/>
    </xf>
    <xf numFmtId="0" fontId="144" fillId="10" borderId="3" xfId="0" applyFont="1" applyFill="1" applyBorder="1" applyAlignment="1">
      <alignment horizontal="center" vertical="center"/>
    </xf>
    <xf numFmtId="0" fontId="92" fillId="6" borderId="114" xfId="0" applyFont="1" applyFill="1" applyBorder="1" applyAlignment="1">
      <alignment horizontal="center" vertical="center"/>
    </xf>
    <xf numFmtId="0" fontId="92" fillId="6" borderId="110" xfId="0" applyFont="1" applyFill="1" applyBorder="1" applyAlignment="1">
      <alignment horizontal="center" vertical="center"/>
    </xf>
    <xf numFmtId="0" fontId="92" fillId="6" borderId="115" xfId="0" applyFont="1" applyFill="1" applyBorder="1" applyAlignment="1">
      <alignment horizontal="center" vertical="center"/>
    </xf>
    <xf numFmtId="0" fontId="92" fillId="6" borderId="19" xfId="0" applyFont="1" applyFill="1" applyBorder="1" applyAlignment="1">
      <alignment horizontal="center" vertical="center"/>
    </xf>
    <xf numFmtId="0" fontId="92" fillId="6" borderId="16" xfId="0" applyFont="1" applyFill="1" applyBorder="1" applyAlignment="1">
      <alignment horizontal="center" vertical="center"/>
    </xf>
    <xf numFmtId="0" fontId="92" fillId="6" borderId="20" xfId="0" applyFont="1" applyFill="1" applyBorder="1" applyAlignment="1">
      <alignment horizontal="center" vertical="center"/>
    </xf>
    <xf numFmtId="164" fontId="142" fillId="2" borderId="32" xfId="0" applyNumberFormat="1" applyFont="1" applyFill="1" applyBorder="1" applyAlignment="1">
      <alignment horizontal="right" vertical="center"/>
    </xf>
    <xf numFmtId="164" fontId="142" fillId="2" borderId="33" xfId="0" applyNumberFormat="1" applyFont="1" applyFill="1" applyBorder="1" applyAlignment="1">
      <alignment horizontal="right" vertical="center"/>
    </xf>
    <xf numFmtId="0" fontId="92" fillId="6" borderId="32" xfId="0" applyFont="1" applyFill="1" applyBorder="1" applyAlignment="1">
      <alignment horizontal="center" vertical="center"/>
    </xf>
    <xf numFmtId="0" fontId="92" fillId="6" borderId="21" xfId="0" applyFont="1" applyFill="1" applyBorder="1" applyAlignment="1">
      <alignment horizontal="center" vertical="center"/>
    </xf>
    <xf numFmtId="0" fontId="92" fillId="6" borderId="33" xfId="0" applyFont="1" applyFill="1" applyBorder="1" applyAlignment="1">
      <alignment horizontal="center" vertical="center"/>
    </xf>
    <xf numFmtId="164" fontId="142" fillId="2" borderId="0" xfId="0" applyNumberFormat="1" applyFont="1" applyFill="1" applyAlignment="1">
      <alignment horizontal="right" vertical="center"/>
    </xf>
    <xf numFmtId="164" fontId="142" fillId="2" borderId="3" xfId="0" applyNumberFormat="1" applyFont="1" applyFill="1" applyBorder="1" applyAlignment="1">
      <alignment horizontal="right" vertical="center"/>
    </xf>
    <xf numFmtId="0" fontId="82" fillId="5" borderId="0" xfId="0" applyFont="1" applyFill="1" applyAlignment="1">
      <alignment horizontal="center" vertical="center"/>
    </xf>
    <xf numFmtId="0" fontId="82" fillId="5" borderId="3" xfId="0" applyFont="1" applyFill="1" applyBorder="1" applyAlignment="1">
      <alignment horizontal="center" vertical="center"/>
    </xf>
    <xf numFmtId="0" fontId="159" fillId="12" borderId="30" xfId="0" applyFont="1" applyFill="1" applyBorder="1" applyAlignment="1">
      <alignment horizontal="left" vertical="center"/>
    </xf>
    <xf numFmtId="0" fontId="159" fillId="12" borderId="35" xfId="0" applyFont="1" applyFill="1" applyBorder="1" applyAlignment="1">
      <alignment horizontal="left" vertical="center"/>
    </xf>
    <xf numFmtId="0" fontId="159" fillId="12" borderId="31" xfId="0" applyFont="1" applyFill="1" applyBorder="1" applyAlignment="1">
      <alignment horizontal="left" vertical="center"/>
    </xf>
    <xf numFmtId="0" fontId="154" fillId="10" borderId="2" xfId="0" applyFont="1" applyFill="1" applyBorder="1" applyAlignment="1">
      <alignment horizontal="center"/>
    </xf>
    <xf numFmtId="0" fontId="154" fillId="10" borderId="0" xfId="0" applyFont="1" applyFill="1" applyAlignment="1">
      <alignment horizontal="center"/>
    </xf>
    <xf numFmtId="0" fontId="154" fillId="10" borderId="3" xfId="0" applyFont="1" applyFill="1" applyBorder="1" applyAlignment="1">
      <alignment horizontal="center"/>
    </xf>
    <xf numFmtId="0" fontId="144" fillId="10" borderId="14" xfId="0" applyFont="1" applyFill="1" applyBorder="1" applyAlignment="1">
      <alignment horizontal="center" vertical="center"/>
    </xf>
    <xf numFmtId="0" fontId="144" fillId="10" borderId="105" xfId="0" applyFont="1" applyFill="1" applyBorder="1" applyAlignment="1">
      <alignment horizontal="center" vertical="center"/>
    </xf>
    <xf numFmtId="0" fontId="144" fillId="10" borderId="15" xfId="0" applyFont="1" applyFill="1" applyBorder="1" applyAlignment="1">
      <alignment horizontal="center" vertical="center"/>
    </xf>
    <xf numFmtId="164" fontId="142" fillId="2" borderId="2" xfId="0" applyNumberFormat="1" applyFont="1" applyFill="1" applyBorder="1" applyAlignment="1">
      <alignment horizontal="right" vertical="center"/>
    </xf>
    <xf numFmtId="0" fontId="153" fillId="10" borderId="2" xfId="0" applyFont="1" applyFill="1" applyBorder="1" applyAlignment="1">
      <alignment horizontal="center"/>
    </xf>
    <xf numFmtId="0" fontId="153" fillId="10" borderId="0" xfId="0" applyFont="1" applyFill="1" applyAlignment="1">
      <alignment horizontal="center"/>
    </xf>
    <xf numFmtId="0" fontId="153" fillId="10" borderId="3" xfId="0" applyFont="1" applyFill="1" applyBorder="1" applyAlignment="1">
      <alignment horizontal="center"/>
    </xf>
    <xf numFmtId="0" fontId="159" fillId="12" borderId="19" xfId="0" applyFont="1" applyFill="1" applyBorder="1" applyAlignment="1">
      <alignment horizontal="left" vertical="center"/>
    </xf>
    <xf numFmtId="0" fontId="159" fillId="12" borderId="16" xfId="0" applyFont="1" applyFill="1" applyBorder="1" applyAlignment="1">
      <alignment horizontal="left" vertical="center"/>
    </xf>
    <xf numFmtId="0" fontId="159" fillId="12" borderId="20" xfId="0" applyFont="1" applyFill="1" applyBorder="1" applyAlignment="1">
      <alignment horizontal="left" vertical="center"/>
    </xf>
    <xf numFmtId="0" fontId="81" fillId="2" borderId="0" xfId="0" applyFont="1" applyFill="1" applyAlignment="1">
      <alignment horizontal="center"/>
    </xf>
    <xf numFmtId="164" fontId="171" fillId="3" borderId="42" xfId="0" applyNumberFormat="1" applyFont="1" applyFill="1" applyBorder="1" applyAlignment="1">
      <alignment horizontal="right" vertical="center"/>
    </xf>
    <xf numFmtId="0" fontId="171" fillId="3" borderId="43" xfId="0" applyFont="1" applyFill="1" applyBorder="1" applyAlignment="1">
      <alignment horizontal="right" vertical="center"/>
    </xf>
    <xf numFmtId="164" fontId="171" fillId="2" borderId="2" xfId="0" applyNumberFormat="1" applyFont="1" applyFill="1" applyBorder="1" applyAlignment="1">
      <alignment horizontal="right" vertical="center"/>
    </xf>
    <xf numFmtId="0" fontId="171" fillId="2" borderId="3" xfId="0" applyFont="1" applyFill="1" applyBorder="1" applyAlignment="1">
      <alignment horizontal="right" vertical="center"/>
    </xf>
    <xf numFmtId="164" fontId="171" fillId="2" borderId="46" xfId="0" applyNumberFormat="1" applyFont="1" applyFill="1" applyBorder="1" applyAlignment="1">
      <alignment horizontal="right" vertical="center"/>
    </xf>
    <xf numFmtId="164" fontId="171" fillId="2" borderId="47" xfId="0" applyNumberFormat="1" applyFont="1" applyFill="1" applyBorder="1" applyAlignment="1">
      <alignment horizontal="right" vertical="center"/>
    </xf>
    <xf numFmtId="0" fontId="156" fillId="6" borderId="19" xfId="0" applyFont="1" applyFill="1" applyBorder="1" applyAlignment="1">
      <alignment horizontal="center" vertical="center"/>
    </xf>
    <xf numFmtId="0" fontId="156" fillId="6" borderId="16" xfId="0" applyFont="1" applyFill="1" applyBorder="1" applyAlignment="1">
      <alignment horizontal="center" vertical="center"/>
    </xf>
    <xf numFmtId="0" fontId="156" fillId="6" borderId="20" xfId="0" applyFont="1" applyFill="1" applyBorder="1" applyAlignment="1">
      <alignment horizontal="center" vertical="center"/>
    </xf>
    <xf numFmtId="0" fontId="156" fillId="6" borderId="2" xfId="0" applyFont="1" applyFill="1" applyBorder="1" applyAlignment="1">
      <alignment horizontal="center" vertical="center"/>
    </xf>
    <xf numFmtId="0" fontId="156" fillId="6" borderId="0" xfId="0" applyFont="1" applyFill="1" applyAlignment="1">
      <alignment horizontal="center" vertical="center"/>
    </xf>
    <xf numFmtId="0" fontId="156" fillId="6" borderId="3" xfId="0" applyFont="1" applyFill="1" applyBorder="1" applyAlignment="1">
      <alignment horizontal="center" vertical="center"/>
    </xf>
    <xf numFmtId="164" fontId="142" fillId="2" borderId="125" xfId="0" applyNumberFormat="1" applyFont="1" applyFill="1" applyBorder="1" applyAlignment="1">
      <alignment horizontal="right" vertical="center"/>
    </xf>
    <xf numFmtId="164" fontId="142" fillId="2" borderId="123" xfId="0" applyNumberFormat="1" applyFont="1" applyFill="1" applyBorder="1" applyAlignment="1">
      <alignment horizontal="right" vertical="center"/>
    </xf>
    <xf numFmtId="0" fontId="46" fillId="7" borderId="105" xfId="0" applyFont="1" applyFill="1" applyBorder="1" applyAlignment="1">
      <alignment horizontal="center"/>
    </xf>
    <xf numFmtId="0" fontId="46" fillId="7" borderId="15" xfId="0" applyFont="1" applyFill="1" applyBorder="1" applyAlignment="1">
      <alignment horizontal="center"/>
    </xf>
    <xf numFmtId="0" fontId="82" fillId="5" borderId="119" xfId="0" applyFont="1" applyFill="1" applyBorder="1" applyAlignment="1">
      <alignment horizontal="center" vertical="center"/>
    </xf>
    <xf numFmtId="0" fontId="82" fillId="5" borderId="117" xfId="0" applyFont="1" applyFill="1" applyBorder="1" applyAlignment="1">
      <alignment horizontal="center" vertical="center"/>
    </xf>
    <xf numFmtId="0" fontId="82" fillId="5" borderId="118" xfId="0" applyFont="1" applyFill="1" applyBorder="1" applyAlignment="1">
      <alignment horizontal="center" vertical="center"/>
    </xf>
    <xf numFmtId="0" fontId="131" fillId="34" borderId="117" xfId="0" applyFont="1" applyFill="1" applyBorder="1" applyAlignment="1">
      <alignment horizontal="center" vertical="center"/>
    </xf>
    <xf numFmtId="0" fontId="131" fillId="34" borderId="118" xfId="0" applyFont="1" applyFill="1" applyBorder="1" applyAlignment="1">
      <alignment horizontal="center" vertical="center"/>
    </xf>
    <xf numFmtId="0" fontId="156" fillId="6" borderId="30" xfId="0" applyFont="1" applyFill="1" applyBorder="1" applyAlignment="1">
      <alignment horizontal="center" vertical="center"/>
    </xf>
    <xf numFmtId="0" fontId="156" fillId="6" borderId="35" xfId="0" applyFont="1" applyFill="1" applyBorder="1" applyAlignment="1">
      <alignment horizontal="center" vertical="center"/>
    </xf>
    <xf numFmtId="0" fontId="156" fillId="6" borderId="31" xfId="0" applyFont="1" applyFill="1" applyBorder="1" applyAlignment="1">
      <alignment horizontal="center" vertical="center"/>
    </xf>
    <xf numFmtId="0" fontId="156" fillId="6" borderId="40" xfId="0" applyFont="1" applyFill="1" applyBorder="1" applyAlignment="1">
      <alignment horizontal="center" vertical="center"/>
    </xf>
    <xf numFmtId="0" fontId="156" fillId="6" borderId="54" xfId="0" applyFont="1" applyFill="1" applyBorder="1" applyAlignment="1">
      <alignment horizontal="center" vertical="center"/>
    </xf>
    <xf numFmtId="0" fontId="156" fillId="6" borderId="41" xfId="0" applyFont="1" applyFill="1" applyBorder="1" applyAlignment="1">
      <alignment horizontal="center" vertical="center"/>
    </xf>
    <xf numFmtId="0" fontId="193" fillId="7" borderId="49" xfId="0" applyFont="1" applyFill="1" applyBorder="1" applyAlignment="1">
      <alignment horizontal="right" vertical="center"/>
    </xf>
    <xf numFmtId="0" fontId="193" fillId="7" borderId="50" xfId="0" applyFont="1" applyFill="1" applyBorder="1" applyAlignment="1">
      <alignment horizontal="right" vertical="center"/>
    </xf>
    <xf numFmtId="0" fontId="193" fillId="7" borderId="47" xfId="0" applyFont="1" applyFill="1" applyBorder="1" applyAlignment="1">
      <alignment horizontal="right" vertical="center"/>
    </xf>
    <xf numFmtId="0" fontId="193" fillId="7" borderId="51" xfId="0" applyFont="1" applyFill="1" applyBorder="1" applyAlignment="1">
      <alignment horizontal="right" vertical="center"/>
    </xf>
    <xf numFmtId="0" fontId="193" fillId="7" borderId="52" xfId="0" applyFont="1" applyFill="1" applyBorder="1" applyAlignment="1">
      <alignment horizontal="right" vertical="center"/>
    </xf>
    <xf numFmtId="0" fontId="193" fillId="7" borderId="45" xfId="0" applyFont="1" applyFill="1" applyBorder="1" applyAlignment="1">
      <alignment horizontal="right" vertical="center"/>
    </xf>
    <xf numFmtId="0" fontId="171" fillId="3" borderId="56" xfId="0" applyFont="1" applyFill="1" applyBorder="1" applyAlignment="1">
      <alignment horizontal="right" vertical="center"/>
    </xf>
    <xf numFmtId="0" fontId="171" fillId="2" borderId="0" xfId="0" applyFont="1" applyFill="1" applyAlignment="1">
      <alignment horizontal="right" vertical="center"/>
    </xf>
    <xf numFmtId="1" fontId="81" fillId="2" borderId="0" xfId="0" applyNumberFormat="1" applyFont="1" applyFill="1" applyAlignment="1">
      <alignment horizontal="center"/>
    </xf>
    <xf numFmtId="164" fontId="193" fillId="7" borderId="46" xfId="0" applyNumberFormat="1" applyFont="1" applyFill="1" applyBorder="1" applyAlignment="1">
      <alignment horizontal="right" vertical="center"/>
    </xf>
    <xf numFmtId="164" fontId="193" fillId="7" borderId="66" xfId="0" applyNumberFormat="1" applyFont="1" applyFill="1" applyBorder="1" applyAlignment="1">
      <alignment horizontal="right" vertical="center"/>
    </xf>
    <xf numFmtId="164" fontId="193" fillId="7" borderId="44" xfId="0" applyNumberFormat="1" applyFont="1" applyFill="1" applyBorder="1" applyAlignment="1">
      <alignment horizontal="right" vertical="center"/>
    </xf>
    <xf numFmtId="164" fontId="193" fillId="7" borderId="53" xfId="0" applyNumberFormat="1" applyFont="1" applyFill="1" applyBorder="1" applyAlignment="1">
      <alignment horizontal="right" vertical="center"/>
    </xf>
    <xf numFmtId="0" fontId="251" fillId="10" borderId="63" xfId="0" applyFont="1" applyFill="1" applyBorder="1" applyAlignment="1">
      <alignment horizontal="left"/>
    </xf>
    <xf numFmtId="0" fontId="251" fillId="10" borderId="62" xfId="0" applyFont="1" applyFill="1" applyBorder="1" applyAlignment="1">
      <alignment horizontal="left"/>
    </xf>
    <xf numFmtId="0" fontId="25" fillId="2" borderId="19" xfId="0" applyFont="1" applyFill="1" applyBorder="1" applyAlignment="1">
      <alignment horizontal="left"/>
    </xf>
    <xf numFmtId="0" fontId="25" fillId="2" borderId="16" xfId="0" applyFont="1" applyFill="1" applyBorder="1" applyAlignment="1">
      <alignment horizontal="left"/>
    </xf>
    <xf numFmtId="0" fontId="25" fillId="2" borderId="20" xfId="0" applyFont="1" applyFill="1" applyBorder="1" applyAlignment="1">
      <alignment horizontal="left"/>
    </xf>
    <xf numFmtId="0" fontId="25" fillId="2" borderId="67" xfId="0" applyFont="1" applyFill="1" applyBorder="1" applyAlignment="1">
      <alignment horizontal="left"/>
    </xf>
    <xf numFmtId="0" fontId="25" fillId="2" borderId="22" xfId="0" applyFont="1" applyFill="1" applyBorder="1" applyAlignment="1">
      <alignment horizontal="left"/>
    </xf>
    <xf numFmtId="0" fontId="25" fillId="2" borderId="23" xfId="0" applyFont="1" applyFill="1" applyBorder="1" applyAlignment="1">
      <alignment horizontal="left"/>
    </xf>
    <xf numFmtId="0" fontId="25" fillId="2" borderId="73" xfId="0" applyFont="1" applyFill="1" applyBorder="1" applyAlignment="1">
      <alignment horizontal="left"/>
    </xf>
    <xf numFmtId="164" fontId="166" fillId="2" borderId="22" xfId="0" applyNumberFormat="1" applyFont="1" applyFill="1" applyBorder="1" applyAlignment="1">
      <alignment horizontal="right" vertical="center"/>
    </xf>
    <xf numFmtId="164" fontId="166" fillId="2" borderId="24" xfId="0" applyNumberFormat="1" applyFont="1" applyFill="1" applyBorder="1" applyAlignment="1">
      <alignment horizontal="right" vertical="center"/>
    </xf>
    <xf numFmtId="0" fontId="156" fillId="6" borderId="125" xfId="0" applyFont="1" applyFill="1" applyBorder="1" applyAlignment="1">
      <alignment horizontal="center" vertical="center"/>
    </xf>
    <xf numFmtId="0" fontId="156" fillId="6" borderId="124" xfId="0" applyFont="1" applyFill="1" applyBorder="1" applyAlignment="1">
      <alignment horizontal="center" vertical="center"/>
    </xf>
    <xf numFmtId="0" fontId="156" fillId="6" borderId="123" xfId="0" applyFont="1" applyFill="1" applyBorder="1" applyAlignment="1">
      <alignment horizontal="center" vertical="center"/>
    </xf>
    <xf numFmtId="0" fontId="144" fillId="10" borderId="3" xfId="0" applyFont="1" applyFill="1" applyBorder="1" applyAlignment="1">
      <alignment horizontal="center"/>
    </xf>
    <xf numFmtId="0" fontId="167" fillId="10" borderId="2" xfId="0" quotePrefix="1" applyFont="1" applyFill="1" applyBorder="1" applyAlignment="1">
      <alignment horizontal="left"/>
    </xf>
    <xf numFmtId="0" fontId="167" fillId="10" borderId="3" xfId="0" applyFont="1" applyFill="1" applyBorder="1" applyAlignment="1">
      <alignment horizontal="left"/>
    </xf>
    <xf numFmtId="0" fontId="142" fillId="6" borderId="32" xfId="0" applyFont="1" applyFill="1" applyBorder="1" applyAlignment="1">
      <alignment horizontal="center" vertical="center"/>
    </xf>
    <xf numFmtId="0" fontId="142" fillId="6" borderId="21" xfId="0" applyFont="1" applyFill="1" applyBorder="1" applyAlignment="1">
      <alignment horizontal="center" vertical="center"/>
    </xf>
    <xf numFmtId="0" fontId="142" fillId="6" borderId="33" xfId="0" applyFont="1" applyFill="1" applyBorder="1" applyAlignment="1">
      <alignment horizontal="center" vertical="center"/>
    </xf>
    <xf numFmtId="0" fontId="142" fillId="6" borderId="19" xfId="0" applyFont="1" applyFill="1" applyBorder="1" applyAlignment="1">
      <alignment horizontal="center" vertical="center"/>
    </xf>
    <xf numFmtId="0" fontId="142" fillId="6" borderId="16" xfId="0" applyFont="1" applyFill="1" applyBorder="1" applyAlignment="1">
      <alignment horizontal="center" vertical="center"/>
    </xf>
    <xf numFmtId="0" fontId="142" fillId="6" borderId="20" xfId="0" applyFont="1" applyFill="1" applyBorder="1" applyAlignment="1">
      <alignment horizontal="center" vertical="center"/>
    </xf>
    <xf numFmtId="0" fontId="142" fillId="6" borderId="2" xfId="0" applyFont="1" applyFill="1" applyBorder="1" applyAlignment="1">
      <alignment horizontal="center" vertical="center"/>
    </xf>
    <xf numFmtId="0" fontId="142" fillId="6" borderId="0" xfId="0" applyFont="1" applyFill="1" applyAlignment="1">
      <alignment horizontal="center" vertical="center"/>
    </xf>
    <xf numFmtId="0" fontId="142" fillId="6" borderId="3" xfId="0" applyFont="1" applyFill="1" applyBorder="1" applyAlignment="1">
      <alignment horizontal="center" vertical="center"/>
    </xf>
    <xf numFmtId="0" fontId="142" fillId="6" borderId="30" xfId="0" applyFont="1" applyFill="1" applyBorder="1" applyAlignment="1">
      <alignment horizontal="center" vertical="center"/>
    </xf>
    <xf numFmtId="0" fontId="142" fillId="6" borderId="35" xfId="0" applyFont="1" applyFill="1" applyBorder="1" applyAlignment="1">
      <alignment horizontal="center" vertical="center"/>
    </xf>
    <xf numFmtId="0" fontId="142" fillId="6" borderId="31" xfId="0" applyFont="1" applyFill="1" applyBorder="1" applyAlignment="1">
      <alignment horizontal="center" vertical="center"/>
    </xf>
    <xf numFmtId="164" fontId="142" fillId="2" borderId="30" xfId="0" applyNumberFormat="1" applyFont="1" applyFill="1" applyBorder="1" applyAlignment="1">
      <alignment horizontal="right" vertical="center"/>
    </xf>
    <xf numFmtId="164" fontId="142" fillId="2" borderId="31" xfId="0" applyNumberFormat="1" applyFont="1" applyFill="1" applyBorder="1" applyAlignment="1">
      <alignment horizontal="right" vertical="center"/>
    </xf>
    <xf numFmtId="0" fontId="164" fillId="2" borderId="14" xfId="0" applyFont="1" applyFill="1" applyBorder="1" applyAlignment="1">
      <alignment horizontal="center" vertical="top"/>
    </xf>
    <xf numFmtId="0" fontId="164" fillId="2" borderId="15" xfId="0" applyFont="1" applyFill="1" applyBorder="1" applyAlignment="1">
      <alignment horizontal="center" vertical="top"/>
    </xf>
    <xf numFmtId="164" fontId="142" fillId="2" borderId="25" xfId="0" applyNumberFormat="1" applyFont="1" applyFill="1" applyBorder="1" applyAlignment="1">
      <alignment horizontal="right" vertical="center"/>
    </xf>
    <xf numFmtId="164" fontId="142" fillId="2" borderId="27" xfId="0" applyNumberFormat="1" applyFont="1" applyFill="1" applyBorder="1" applyAlignment="1">
      <alignment horizontal="right" vertical="center"/>
    </xf>
    <xf numFmtId="0" fontId="82" fillId="5" borderId="124" xfId="0" applyFont="1" applyFill="1" applyBorder="1" applyAlignment="1">
      <alignment horizontal="center" vertical="center"/>
    </xf>
    <xf numFmtId="0" fontId="165" fillId="2" borderId="14" xfId="0" applyFont="1" applyFill="1" applyBorder="1" applyAlignment="1">
      <alignment horizontal="center" vertical="center"/>
    </xf>
    <xf numFmtId="0" fontId="165" fillId="2" borderId="105" xfId="0" applyFont="1" applyFill="1" applyBorder="1" applyAlignment="1">
      <alignment horizontal="center" vertical="center"/>
    </xf>
    <xf numFmtId="0" fontId="165" fillId="2" borderId="15" xfId="0" applyFont="1" applyFill="1" applyBorder="1" applyAlignment="1">
      <alignment horizontal="center" vertical="center"/>
    </xf>
    <xf numFmtId="0" fontId="92" fillId="6" borderId="30" xfId="0" applyFont="1" applyFill="1" applyBorder="1" applyAlignment="1">
      <alignment horizontal="center" vertical="center"/>
    </xf>
    <xf numFmtId="0" fontId="92" fillId="6" borderId="35" xfId="0" applyFont="1" applyFill="1" applyBorder="1" applyAlignment="1">
      <alignment horizontal="center" vertical="center"/>
    </xf>
    <xf numFmtId="0" fontId="92" fillId="6" borderId="31" xfId="0" applyFont="1" applyFill="1" applyBorder="1" applyAlignment="1">
      <alignment horizontal="center" vertical="center"/>
    </xf>
    <xf numFmtId="0" fontId="82" fillId="9" borderId="119" xfId="0" applyFont="1" applyFill="1" applyBorder="1" applyAlignment="1">
      <alignment horizontal="center" vertical="center"/>
    </xf>
    <xf numFmtId="0" fontId="82" fillId="9" borderId="117" xfId="0" applyFont="1" applyFill="1" applyBorder="1" applyAlignment="1">
      <alignment horizontal="center" vertical="center"/>
    </xf>
    <xf numFmtId="0" fontId="82" fillId="9" borderId="118" xfId="0" applyFont="1" applyFill="1" applyBorder="1" applyAlignment="1">
      <alignment horizontal="center" vertical="center"/>
    </xf>
    <xf numFmtId="0" fontId="109" fillId="10" borderId="125" xfId="0" applyFont="1" applyFill="1" applyBorder="1" applyAlignment="1">
      <alignment horizontal="center" vertical="center"/>
    </xf>
    <xf numFmtId="0" fontId="109" fillId="10" borderId="124" xfId="0" applyFont="1" applyFill="1" applyBorder="1" applyAlignment="1">
      <alignment horizontal="center" vertical="center"/>
    </xf>
    <xf numFmtId="0" fontId="109" fillId="10" borderId="123" xfId="0" applyFont="1" applyFill="1" applyBorder="1" applyAlignment="1">
      <alignment horizontal="center" vertical="center"/>
    </xf>
    <xf numFmtId="0" fontId="133" fillId="2" borderId="2" xfId="0" applyFont="1" applyFill="1" applyBorder="1" applyAlignment="1">
      <alignment horizontal="center" vertical="center"/>
    </xf>
    <xf numFmtId="0" fontId="133" fillId="2" borderId="3" xfId="0" applyFont="1" applyFill="1" applyBorder="1" applyAlignment="1">
      <alignment horizontal="center" vertical="center"/>
    </xf>
    <xf numFmtId="0" fontId="147" fillId="2" borderId="2" xfId="0" applyFont="1" applyFill="1" applyBorder="1" applyAlignment="1">
      <alignment horizontal="left" vertical="center"/>
    </xf>
    <xf numFmtId="0" fontId="147" fillId="2" borderId="3" xfId="0" applyFont="1" applyFill="1" applyBorder="1" applyAlignment="1">
      <alignment horizontal="left" vertical="center"/>
    </xf>
    <xf numFmtId="0" fontId="147" fillId="2" borderId="0" xfId="0" applyFont="1" applyFill="1" applyAlignment="1">
      <alignment horizontal="left" vertical="center"/>
    </xf>
    <xf numFmtId="164" fontId="297" fillId="2" borderId="26" xfId="0" applyNumberFormat="1" applyFont="1" applyFill="1" applyBorder="1" applyAlignment="1">
      <alignment horizontal="right" vertical="center"/>
    </xf>
    <xf numFmtId="164" fontId="297" fillId="2" borderId="27" xfId="0" applyNumberFormat="1" applyFont="1" applyFill="1" applyBorder="1" applyAlignment="1">
      <alignment horizontal="right" vertical="center"/>
    </xf>
    <xf numFmtId="164" fontId="296" fillId="2" borderId="117" xfId="0" applyNumberFormat="1" applyFont="1" applyFill="1" applyBorder="1" applyAlignment="1">
      <alignment horizontal="right" vertical="center"/>
    </xf>
    <xf numFmtId="164" fontId="296" fillId="2" borderId="118" xfId="0" applyNumberFormat="1" applyFont="1" applyFill="1" applyBorder="1" applyAlignment="1">
      <alignment horizontal="right" vertical="center"/>
    </xf>
    <xf numFmtId="164" fontId="297" fillId="2" borderId="19" xfId="0" applyNumberFormat="1" applyFont="1" applyFill="1" applyBorder="1" applyAlignment="1">
      <alignment horizontal="right" vertical="center"/>
    </xf>
    <xf numFmtId="0" fontId="90" fillId="2" borderId="105" xfId="0" applyFont="1" applyFill="1" applyBorder="1" applyAlignment="1">
      <alignment horizontal="right" vertical="center"/>
    </xf>
    <xf numFmtId="0" fontId="79" fillId="2" borderId="19" xfId="0" applyFont="1" applyFill="1" applyBorder="1" applyAlignment="1">
      <alignment horizontal="right" vertical="center"/>
    </xf>
    <xf numFmtId="0" fontId="79" fillId="2" borderId="16" xfId="0" applyFont="1" applyFill="1" applyBorder="1" applyAlignment="1">
      <alignment horizontal="right" vertical="center"/>
    </xf>
    <xf numFmtId="0" fontId="79" fillId="2" borderId="20" xfId="0" applyFont="1" applyFill="1" applyBorder="1" applyAlignment="1">
      <alignment horizontal="right" vertical="center"/>
    </xf>
    <xf numFmtId="0" fontId="79" fillId="2" borderId="25" xfId="0" applyFont="1" applyFill="1" applyBorder="1" applyAlignment="1">
      <alignment horizontal="right" vertical="center"/>
    </xf>
    <xf numFmtId="0" fontId="79" fillId="2" borderId="26" xfId="0" applyFont="1" applyFill="1" applyBorder="1" applyAlignment="1">
      <alignment horizontal="right" vertical="center"/>
    </xf>
    <xf numFmtId="0" fontId="79" fillId="2" borderId="27" xfId="0" applyFont="1" applyFill="1" applyBorder="1" applyAlignment="1">
      <alignment horizontal="right" vertical="center"/>
    </xf>
    <xf numFmtId="0" fontId="156" fillId="2" borderId="19" xfId="0" applyFont="1" applyFill="1" applyBorder="1" applyAlignment="1">
      <alignment horizontal="right" vertical="center"/>
    </xf>
    <xf numFmtId="0" fontId="143" fillId="2" borderId="124" xfId="0" applyFont="1" applyFill="1" applyBorder="1" applyAlignment="1">
      <alignment horizontal="center" vertical="center"/>
    </xf>
    <xf numFmtId="0" fontId="131" fillId="6" borderId="119" xfId="0" applyFont="1" applyFill="1" applyBorder="1" applyAlignment="1">
      <alignment horizontal="center" vertical="center"/>
    </xf>
    <xf numFmtId="0" fontId="131" fillId="6" borderId="118" xfId="0" applyFont="1" applyFill="1" applyBorder="1" applyAlignment="1">
      <alignment horizontal="center" vertical="center"/>
    </xf>
    <xf numFmtId="0" fontId="43" fillId="2" borderId="105" xfId="0" applyFont="1" applyFill="1" applyBorder="1" applyAlignment="1">
      <alignment horizontal="center"/>
    </xf>
    <xf numFmtId="0" fontId="43" fillId="2" borderId="15" xfId="0" applyFont="1" applyFill="1" applyBorder="1" applyAlignment="1">
      <alignment horizontal="center"/>
    </xf>
    <xf numFmtId="0" fontId="131" fillId="6" borderId="117" xfId="0" applyFont="1" applyFill="1" applyBorder="1" applyAlignment="1">
      <alignment horizontal="center" vertical="center"/>
    </xf>
    <xf numFmtId="164" fontId="297" fillId="2" borderId="23" xfId="0" applyNumberFormat="1" applyFont="1" applyFill="1" applyBorder="1" applyAlignment="1">
      <alignment horizontal="right" vertical="center"/>
    </xf>
    <xf numFmtId="164" fontId="297" fillId="2" borderId="24" xfId="0" applyNumberFormat="1" applyFont="1" applyFill="1" applyBorder="1" applyAlignment="1">
      <alignment horizontal="right" vertical="center"/>
    </xf>
    <xf numFmtId="0" fontId="156" fillId="2" borderId="25" xfId="0" applyFont="1" applyFill="1" applyBorder="1" applyAlignment="1">
      <alignment horizontal="right" vertical="center"/>
    </xf>
    <xf numFmtId="0" fontId="156" fillId="2" borderId="26" xfId="0" applyFont="1" applyFill="1" applyBorder="1" applyAlignment="1">
      <alignment horizontal="right" vertical="center"/>
    </xf>
    <xf numFmtId="0" fontId="156" fillId="2" borderId="27" xfId="0" applyFont="1" applyFill="1" applyBorder="1" applyAlignment="1">
      <alignment horizontal="right" vertical="center"/>
    </xf>
    <xf numFmtId="0" fontId="79" fillId="2" borderId="22" xfId="0" applyFont="1" applyFill="1" applyBorder="1" applyAlignment="1">
      <alignment horizontal="right" vertical="center"/>
    </xf>
    <xf numFmtId="0" fontId="79" fillId="2" borderId="23" xfId="0" applyFont="1" applyFill="1" applyBorder="1" applyAlignment="1">
      <alignment horizontal="right" vertical="center"/>
    </xf>
    <xf numFmtId="0" fontId="79" fillId="2" borderId="24" xfId="0" applyFont="1" applyFill="1" applyBorder="1" applyAlignment="1">
      <alignment horizontal="right" vertical="center"/>
    </xf>
    <xf numFmtId="164" fontId="297" fillId="2" borderId="32" xfId="0" applyNumberFormat="1" applyFont="1" applyFill="1" applyBorder="1" applyAlignment="1">
      <alignment horizontal="right" vertical="center"/>
    </xf>
    <xf numFmtId="164" fontId="296" fillId="2" borderId="32" xfId="0" applyNumberFormat="1" applyFont="1" applyFill="1" applyBorder="1" applyAlignment="1">
      <alignment horizontal="right" vertical="center"/>
    </xf>
    <xf numFmtId="164" fontId="296" fillId="2" borderId="33" xfId="0" applyNumberFormat="1" applyFont="1" applyFill="1" applyBorder="1" applyAlignment="1">
      <alignment horizontal="right" vertical="center"/>
    </xf>
    <xf numFmtId="0" fontId="241" fillId="34" borderId="119" xfId="0" applyFont="1" applyFill="1" applyBorder="1" applyAlignment="1">
      <alignment horizontal="center" vertical="center"/>
    </xf>
    <xf numFmtId="164" fontId="48" fillId="2" borderId="21" xfId="0" applyNumberFormat="1" applyFont="1" applyFill="1" applyBorder="1" applyAlignment="1">
      <alignment horizontal="right" vertical="center"/>
    </xf>
    <xf numFmtId="164" fontId="48" fillId="2" borderId="33" xfId="0" applyNumberFormat="1" applyFont="1" applyFill="1" applyBorder="1" applyAlignment="1">
      <alignment horizontal="right" vertical="center"/>
    </xf>
    <xf numFmtId="164" fontId="48" fillId="2" borderId="107" xfId="0" applyNumberFormat="1" applyFont="1" applyFill="1" applyBorder="1" applyAlignment="1">
      <alignment horizontal="right" vertical="center"/>
    </xf>
    <xf numFmtId="164" fontId="48" fillId="2" borderId="31" xfId="0" applyNumberFormat="1" applyFont="1" applyFill="1" applyBorder="1" applyAlignment="1">
      <alignment horizontal="right" vertical="center"/>
    </xf>
    <xf numFmtId="0" fontId="158" fillId="2" borderId="22" xfId="0" applyFont="1" applyFill="1" applyBorder="1" applyAlignment="1">
      <alignment horizontal="right" vertical="center"/>
    </xf>
    <xf numFmtId="0" fontId="158" fillId="2" borderId="23" xfId="0" applyFont="1" applyFill="1" applyBorder="1" applyAlignment="1">
      <alignment horizontal="right" vertical="center"/>
    </xf>
    <xf numFmtId="0" fontId="158" fillId="2" borderId="24" xfId="0" applyFont="1" applyFill="1" applyBorder="1" applyAlignment="1">
      <alignment horizontal="right" vertical="center"/>
    </xf>
    <xf numFmtId="0" fontId="158" fillId="2" borderId="25" xfId="0" applyFont="1" applyFill="1" applyBorder="1" applyAlignment="1">
      <alignment horizontal="right" vertical="center"/>
    </xf>
    <xf numFmtId="0" fontId="158" fillId="2" borderId="19" xfId="0" applyFont="1" applyFill="1" applyBorder="1" applyAlignment="1">
      <alignment horizontal="right" vertical="center"/>
    </xf>
    <xf numFmtId="164" fontId="297" fillId="2" borderId="125" xfId="0" applyNumberFormat="1" applyFont="1" applyFill="1" applyBorder="1" applyAlignment="1">
      <alignment horizontal="right" vertical="center"/>
    </xf>
    <xf numFmtId="164" fontId="297" fillId="2" borderId="123" xfId="0" applyNumberFormat="1" applyFont="1" applyFill="1" applyBorder="1" applyAlignment="1">
      <alignment horizontal="right" vertical="center"/>
    </xf>
    <xf numFmtId="164" fontId="297" fillId="2" borderId="30" xfId="0" applyNumberFormat="1" applyFont="1" applyFill="1" applyBorder="1" applyAlignment="1">
      <alignment horizontal="right" vertical="center"/>
    </xf>
    <xf numFmtId="0" fontId="82" fillId="5" borderId="123" xfId="0" applyFont="1" applyFill="1" applyBorder="1" applyAlignment="1">
      <alignment horizontal="center" vertical="center"/>
    </xf>
    <xf numFmtId="0" fontId="275" fillId="7" borderId="119" xfId="0" applyFont="1" applyFill="1" applyBorder="1" applyAlignment="1">
      <alignment horizontal="center" vertical="center"/>
    </xf>
    <xf numFmtId="0" fontId="275" fillId="7" borderId="117" xfId="0" applyFont="1" applyFill="1" applyBorder="1" applyAlignment="1">
      <alignment horizontal="center" vertical="center"/>
    </xf>
    <xf numFmtId="0" fontId="275" fillId="7" borderId="118" xfId="0" applyFont="1" applyFill="1" applyBorder="1" applyAlignment="1">
      <alignment horizontal="center" vertical="center"/>
    </xf>
    <xf numFmtId="0" fontId="216" fillId="5" borderId="5" xfId="0" applyFont="1" applyFill="1" applyBorder="1" applyAlignment="1">
      <alignment horizontal="center"/>
    </xf>
    <xf numFmtId="0" fontId="216" fillId="5" borderId="6" xfId="0" applyFont="1" applyFill="1" applyBorder="1" applyAlignment="1">
      <alignment horizontal="center"/>
    </xf>
    <xf numFmtId="0" fontId="216" fillId="5" borderId="7" xfId="0" applyFont="1" applyFill="1" applyBorder="1" applyAlignment="1">
      <alignment horizontal="center"/>
    </xf>
    <xf numFmtId="164" fontId="297" fillId="2" borderId="25" xfId="0" applyNumberFormat="1" applyFont="1" applyFill="1" applyBorder="1" applyAlignment="1">
      <alignment horizontal="right" vertical="center"/>
    </xf>
    <xf numFmtId="164" fontId="297" fillId="2" borderId="2" xfId="0" applyNumberFormat="1" applyFont="1" applyFill="1" applyBorder="1" applyAlignment="1">
      <alignment horizontal="right" vertical="center"/>
    </xf>
    <xf numFmtId="4" fontId="98" fillId="2" borderId="0" xfId="0" applyNumberFormat="1" applyFont="1" applyFill="1" applyAlignment="1">
      <alignment horizontal="center" vertical="center"/>
    </xf>
    <xf numFmtId="164" fontId="297" fillId="2" borderId="22" xfId="0" applyNumberFormat="1" applyFont="1" applyFill="1" applyBorder="1" applyAlignment="1">
      <alignment horizontal="right" vertical="center"/>
    </xf>
    <xf numFmtId="0" fontId="156" fillId="2" borderId="123" xfId="0" applyFont="1" applyFill="1" applyBorder="1" applyAlignment="1">
      <alignment horizontal="right" vertical="center"/>
    </xf>
    <xf numFmtId="0" fontId="156" fillId="2" borderId="3" xfId="0" applyFont="1" applyFill="1" applyBorder="1" applyAlignment="1">
      <alignment horizontal="right" vertical="center"/>
    </xf>
    <xf numFmtId="0" fontId="156" fillId="2" borderId="2" xfId="0" applyFont="1" applyFill="1" applyBorder="1" applyAlignment="1">
      <alignment horizontal="right"/>
    </xf>
    <xf numFmtId="0" fontId="156" fillId="2" borderId="0" xfId="0" applyFont="1" applyFill="1" applyAlignment="1">
      <alignment horizontal="right"/>
    </xf>
    <xf numFmtId="0" fontId="156" fillId="2" borderId="3" xfId="0" applyFont="1" applyFill="1" applyBorder="1" applyAlignment="1">
      <alignment horizontal="right"/>
    </xf>
    <xf numFmtId="0" fontId="156" fillId="2" borderId="14" xfId="0" applyFont="1" applyFill="1" applyBorder="1" applyAlignment="1">
      <alignment horizontal="right"/>
    </xf>
    <xf numFmtId="0" fontId="156" fillId="2" borderId="105" xfId="0" applyFont="1" applyFill="1" applyBorder="1" applyAlignment="1">
      <alignment horizontal="right"/>
    </xf>
    <xf numFmtId="0" fontId="156" fillId="2" borderId="15" xfId="0" applyFont="1" applyFill="1" applyBorder="1" applyAlignment="1">
      <alignment horizontal="right"/>
    </xf>
    <xf numFmtId="0" fontId="145" fillId="2" borderId="2" xfId="0" applyFont="1" applyFill="1" applyBorder="1" applyAlignment="1">
      <alignment horizontal="center" vertical="center"/>
    </xf>
    <xf numFmtId="0" fontId="145" fillId="2" borderId="0" xfId="0" applyFont="1" applyFill="1" applyAlignment="1">
      <alignment horizontal="center" vertical="center"/>
    </xf>
    <xf numFmtId="0" fontId="145" fillId="2" borderId="3" xfId="0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center"/>
    </xf>
    <xf numFmtId="0" fontId="156" fillId="2" borderId="22" xfId="0" applyFont="1" applyFill="1" applyBorder="1" applyAlignment="1">
      <alignment horizontal="right" vertical="center"/>
    </xf>
    <xf numFmtId="0" fontId="156" fillId="2" borderId="119" xfId="0" applyFont="1" applyFill="1" applyBorder="1" applyAlignment="1">
      <alignment horizontal="right" vertical="center"/>
    </xf>
    <xf numFmtId="0" fontId="156" fillId="2" borderId="117" xfId="0" applyFont="1" applyFill="1" applyBorder="1" applyAlignment="1">
      <alignment horizontal="right" vertical="center"/>
    </xf>
    <xf numFmtId="0" fontId="156" fillId="2" borderId="118" xfId="0" applyFont="1" applyFill="1" applyBorder="1" applyAlignment="1">
      <alignment horizontal="right" vertical="center"/>
    </xf>
    <xf numFmtId="0" fontId="75" fillId="9" borderId="119" xfId="0" applyFont="1" applyFill="1" applyBorder="1" applyAlignment="1">
      <alignment horizontal="center" vertical="center"/>
    </xf>
    <xf numFmtId="0" fontId="75" fillId="9" borderId="117" xfId="0" applyFont="1" applyFill="1" applyBorder="1" applyAlignment="1">
      <alignment horizontal="center" vertical="center"/>
    </xf>
    <xf numFmtId="0" fontId="75" fillId="9" borderId="118" xfId="0" applyFont="1" applyFill="1" applyBorder="1" applyAlignment="1">
      <alignment horizontal="center" vertical="center"/>
    </xf>
    <xf numFmtId="0" fontId="146" fillId="2" borderId="125" xfId="0" applyFont="1" applyFill="1" applyBorder="1" applyAlignment="1">
      <alignment horizontal="center" vertical="center"/>
    </xf>
    <xf numFmtId="0" fontId="146" fillId="2" borderId="123" xfId="0" applyFont="1" applyFill="1" applyBorder="1" applyAlignment="1">
      <alignment horizontal="center" vertical="center"/>
    </xf>
    <xf numFmtId="0" fontId="146" fillId="2" borderId="124" xfId="0" applyFont="1" applyFill="1" applyBorder="1" applyAlignment="1">
      <alignment horizontal="center" vertical="center"/>
    </xf>
    <xf numFmtId="0" fontId="146" fillId="2" borderId="2" xfId="0" applyFont="1" applyFill="1" applyBorder="1" applyAlignment="1">
      <alignment horizontal="center" vertical="top"/>
    </xf>
    <xf numFmtId="0" fontId="146" fillId="2" borderId="0" xfId="0" applyFont="1" applyFill="1" applyAlignment="1">
      <alignment horizontal="center" vertical="top"/>
    </xf>
    <xf numFmtId="0" fontId="146" fillId="2" borderId="3" xfId="0" applyFont="1" applyFill="1" applyBorder="1" applyAlignment="1">
      <alignment horizontal="center" vertical="top"/>
    </xf>
    <xf numFmtId="0" fontId="162" fillId="10" borderId="117" xfId="0" applyFont="1" applyFill="1" applyBorder="1" applyAlignment="1">
      <alignment horizontal="center" vertical="center"/>
    </xf>
    <xf numFmtId="0" fontId="147" fillId="2" borderId="14" xfId="0" applyFont="1" applyFill="1" applyBorder="1" applyAlignment="1">
      <alignment horizontal="left" vertical="center"/>
    </xf>
    <xf numFmtId="0" fontId="147" fillId="2" borderId="15" xfId="0" applyFont="1" applyFill="1" applyBorder="1" applyAlignment="1">
      <alignment horizontal="left" vertical="center"/>
    </xf>
    <xf numFmtId="0" fontId="147" fillId="2" borderId="105" xfId="0" applyFont="1" applyFill="1" applyBorder="1" applyAlignment="1">
      <alignment horizontal="left" vertical="center"/>
    </xf>
    <xf numFmtId="0" fontId="155" fillId="10" borderId="2" xfId="0" applyFont="1" applyFill="1" applyBorder="1" applyAlignment="1">
      <alignment horizontal="center"/>
    </xf>
    <xf numFmtId="0" fontId="117" fillId="10" borderId="2" xfId="0" quotePrefix="1" applyFont="1" applyFill="1" applyBorder="1" applyAlignment="1">
      <alignment horizontal="center" vertical="center"/>
    </xf>
    <xf numFmtId="0" fontId="117" fillId="10" borderId="0" xfId="0" quotePrefix="1" applyFont="1" applyFill="1" applyAlignment="1">
      <alignment horizontal="center" vertical="center"/>
    </xf>
    <xf numFmtId="0" fontId="117" fillId="10" borderId="3" xfId="0" quotePrefix="1" applyFont="1" applyFill="1" applyBorder="1" applyAlignment="1">
      <alignment horizontal="center" vertical="center"/>
    </xf>
    <xf numFmtId="0" fontId="92" fillId="6" borderId="2" xfId="0" applyFont="1" applyFill="1" applyBorder="1" applyAlignment="1">
      <alignment horizontal="center" vertical="center"/>
    </xf>
    <xf numFmtId="0" fontId="92" fillId="6" borderId="0" xfId="0" applyFont="1" applyFill="1" applyAlignment="1">
      <alignment horizontal="center" vertical="center"/>
    </xf>
    <xf numFmtId="0" fontId="92" fillId="6" borderId="3" xfId="0" applyFont="1" applyFill="1" applyBorder="1" applyAlignment="1">
      <alignment horizontal="center" vertical="center"/>
    </xf>
    <xf numFmtId="0" fontId="92" fillId="6" borderId="125" xfId="0" applyFont="1" applyFill="1" applyBorder="1" applyAlignment="1">
      <alignment horizontal="center" vertical="center"/>
    </xf>
    <xf numFmtId="0" fontId="92" fillId="6" borderId="124" xfId="0" applyFont="1" applyFill="1" applyBorder="1" applyAlignment="1">
      <alignment horizontal="center" vertical="center"/>
    </xf>
    <xf numFmtId="0" fontId="92" fillId="6" borderId="123" xfId="0" applyFont="1" applyFill="1" applyBorder="1" applyAlignment="1">
      <alignment horizontal="center" vertical="center"/>
    </xf>
    <xf numFmtId="0" fontId="92" fillId="6" borderId="25" xfId="0" applyFont="1" applyFill="1" applyBorder="1" applyAlignment="1">
      <alignment horizontal="center" vertical="center"/>
    </xf>
    <xf numFmtId="0" fontId="92" fillId="6" borderId="26" xfId="0" applyFont="1" applyFill="1" applyBorder="1" applyAlignment="1">
      <alignment horizontal="center" vertical="center"/>
    </xf>
    <xf numFmtId="0" fontId="92" fillId="6" borderId="27" xfId="0" applyFont="1" applyFill="1" applyBorder="1" applyAlignment="1">
      <alignment horizontal="center" vertical="center"/>
    </xf>
    <xf numFmtId="0" fontId="159" fillId="12" borderId="0" xfId="0" applyFont="1" applyFill="1" applyAlignment="1">
      <alignment vertical="center"/>
    </xf>
    <xf numFmtId="0" fontId="159" fillId="12" borderId="3" xfId="0" applyFont="1" applyFill="1" applyBorder="1" applyAlignment="1">
      <alignment vertical="center"/>
    </xf>
    <xf numFmtId="0" fontId="92" fillId="6" borderId="111" xfId="0" applyFont="1" applyFill="1" applyBorder="1" applyAlignment="1">
      <alignment horizontal="center" vertical="center"/>
    </xf>
    <xf numFmtId="0" fontId="92" fillId="6" borderId="112" xfId="0" applyFont="1" applyFill="1" applyBorder="1" applyAlignment="1">
      <alignment horizontal="center" vertical="center"/>
    </xf>
    <xf numFmtId="0" fontId="92" fillId="6" borderId="113" xfId="0" applyFont="1" applyFill="1" applyBorder="1" applyAlignment="1">
      <alignment horizontal="center" vertical="center"/>
    </xf>
    <xf numFmtId="0" fontId="159" fillId="12" borderId="0" xfId="0" applyFont="1" applyFill="1" applyAlignment="1">
      <alignment horizontal="left" vertical="center"/>
    </xf>
    <xf numFmtId="0" fontId="159" fillId="12" borderId="3" xfId="0" applyFont="1" applyFill="1" applyBorder="1" applyAlignment="1">
      <alignment horizontal="left" vertical="center"/>
    </xf>
    <xf numFmtId="164" fontId="101" fillId="2" borderId="0" xfId="0" applyNumberFormat="1" applyFont="1" applyFill="1" applyAlignment="1">
      <alignment horizontal="right" vertical="center"/>
    </xf>
    <xf numFmtId="0" fontId="156" fillId="6" borderId="25" xfId="0" applyFont="1" applyFill="1" applyBorder="1" applyAlignment="1">
      <alignment horizontal="center" vertical="center"/>
    </xf>
    <xf numFmtId="0" fontId="156" fillId="6" borderId="26" xfId="0" applyFont="1" applyFill="1" applyBorder="1" applyAlignment="1">
      <alignment horizontal="center" vertical="center"/>
    </xf>
    <xf numFmtId="0" fontId="82" fillId="13" borderId="119" xfId="0" applyFont="1" applyFill="1" applyBorder="1" applyAlignment="1">
      <alignment horizontal="center" vertical="center"/>
    </xf>
    <xf numFmtId="0" fontId="82" fillId="13" borderId="117" xfId="0" applyFont="1" applyFill="1" applyBorder="1" applyAlignment="1">
      <alignment horizontal="center" vertical="center"/>
    </xf>
    <xf numFmtId="0" fontId="82" fillId="13" borderId="118" xfId="0" applyFont="1" applyFill="1" applyBorder="1" applyAlignment="1">
      <alignment horizontal="center" vertical="center"/>
    </xf>
    <xf numFmtId="0" fontId="157" fillId="14" borderId="124" xfId="0" applyFont="1" applyFill="1" applyBorder="1" applyAlignment="1">
      <alignment horizontal="left" vertical="center"/>
    </xf>
    <xf numFmtId="0" fontId="157" fillId="14" borderId="123" xfId="0" applyFont="1" applyFill="1" applyBorder="1" applyAlignment="1">
      <alignment horizontal="left" vertical="center"/>
    </xf>
    <xf numFmtId="0" fontId="82" fillId="11" borderId="119" xfId="0" applyFont="1" applyFill="1" applyBorder="1" applyAlignment="1">
      <alignment horizontal="center" vertical="center"/>
    </xf>
    <xf numFmtId="0" fontId="82" fillId="11" borderId="117" xfId="0" applyFont="1" applyFill="1" applyBorder="1" applyAlignment="1">
      <alignment horizontal="center" vertical="center"/>
    </xf>
    <xf numFmtId="0" fontId="82" fillId="11" borderId="118" xfId="0" applyFont="1" applyFill="1" applyBorder="1" applyAlignment="1">
      <alignment horizontal="center" vertical="center"/>
    </xf>
    <xf numFmtId="4" fontId="142" fillId="2" borderId="25" xfId="0" applyNumberFormat="1" applyFont="1" applyFill="1" applyBorder="1" applyAlignment="1">
      <alignment horizontal="right" vertical="center"/>
    </xf>
    <xf numFmtId="4" fontId="142" fillId="2" borderId="27" xfId="0" applyNumberFormat="1" applyFont="1" applyFill="1" applyBorder="1" applyAlignment="1">
      <alignment horizontal="right" vertical="center"/>
    </xf>
    <xf numFmtId="0" fontId="75" fillId="5" borderId="124" xfId="0" applyFont="1" applyFill="1" applyBorder="1" applyAlignment="1">
      <alignment horizontal="center" vertical="center"/>
    </xf>
    <xf numFmtId="0" fontId="75" fillId="5" borderId="123" xfId="0" applyFont="1" applyFill="1" applyBorder="1" applyAlignment="1">
      <alignment horizontal="center" vertical="center"/>
    </xf>
    <xf numFmtId="0" fontId="75" fillId="5" borderId="0" xfId="0" applyFont="1" applyFill="1" applyAlignment="1">
      <alignment horizontal="center" vertical="center"/>
    </xf>
    <xf numFmtId="0" fontId="75" fillId="5" borderId="3" xfId="0" applyFont="1" applyFill="1" applyBorder="1" applyAlignment="1">
      <alignment horizontal="center" vertical="center"/>
    </xf>
    <xf numFmtId="0" fontId="75" fillId="5" borderId="105" xfId="0" applyFont="1" applyFill="1" applyBorder="1" applyAlignment="1">
      <alignment horizontal="center" vertical="center"/>
    </xf>
    <xf numFmtId="0" fontId="75" fillId="5" borderId="15" xfId="0" applyFont="1" applyFill="1" applyBorder="1" applyAlignment="1">
      <alignment horizontal="center" vertical="center"/>
    </xf>
    <xf numFmtId="0" fontId="156" fillId="6" borderId="119" xfId="0" applyFont="1" applyFill="1" applyBorder="1" applyAlignment="1">
      <alignment horizontal="center" vertical="center"/>
    </xf>
    <xf numFmtId="0" fontId="0" fillId="0" borderId="117" xfId="0" applyBorder="1" applyAlignment="1">
      <alignment horizontal="center"/>
    </xf>
    <xf numFmtId="0" fontId="0" fillId="0" borderId="118" xfId="0" applyBorder="1" applyAlignment="1">
      <alignment horizontal="center"/>
    </xf>
    <xf numFmtId="0" fontId="142" fillId="6" borderId="2" xfId="0" applyFont="1" applyFill="1" applyBorder="1" applyAlignment="1">
      <alignment horizontal="left" vertical="center"/>
    </xf>
    <xf numFmtId="0" fontId="142" fillId="6" borderId="0" xfId="0" applyFont="1" applyFill="1" applyAlignment="1">
      <alignment horizontal="left" vertical="center"/>
    </xf>
    <xf numFmtId="0" fontId="142" fillId="6" borderId="3" xfId="0" applyFont="1" applyFill="1" applyBorder="1" applyAlignment="1">
      <alignment horizontal="left" vertical="center"/>
    </xf>
    <xf numFmtId="0" fontId="142" fillId="6" borderId="125" xfId="0" applyFont="1" applyFill="1" applyBorder="1" applyAlignment="1">
      <alignment horizontal="center" vertical="center"/>
    </xf>
    <xf numFmtId="0" fontId="142" fillId="6" borderId="124" xfId="0" applyFont="1" applyFill="1" applyBorder="1" applyAlignment="1">
      <alignment horizontal="center" vertical="center"/>
    </xf>
    <xf numFmtId="0" fontId="142" fillId="6" borderId="123" xfId="0" applyFont="1" applyFill="1" applyBorder="1" applyAlignment="1">
      <alignment horizontal="center" vertical="center"/>
    </xf>
    <xf numFmtId="0" fontId="220" fillId="7" borderId="102" xfId="0" applyFont="1" applyFill="1" applyBorder="1" applyAlignment="1">
      <alignment horizontal="center" vertical="center"/>
    </xf>
    <xf numFmtId="0" fontId="220" fillId="7" borderId="36" xfId="0" applyFont="1" applyFill="1" applyBorder="1" applyAlignment="1">
      <alignment horizontal="center" vertical="center"/>
    </xf>
    <xf numFmtId="0" fontId="266" fillId="2" borderId="14" xfId="0" applyFont="1" applyFill="1" applyBorder="1" applyAlignment="1">
      <alignment horizontal="center" vertical="center"/>
    </xf>
    <xf numFmtId="0" fontId="266" fillId="2" borderId="105" xfId="0" applyFont="1" applyFill="1" applyBorder="1" applyAlignment="1">
      <alignment horizontal="center" vertical="center"/>
    </xf>
    <xf numFmtId="0" fontId="266" fillId="2" borderId="15" xfId="0" applyFont="1" applyFill="1" applyBorder="1" applyAlignment="1">
      <alignment horizontal="center" vertical="center"/>
    </xf>
    <xf numFmtId="164" fontId="142" fillId="2" borderId="40" xfId="0" applyNumberFormat="1" applyFont="1" applyFill="1" applyBorder="1" applyAlignment="1">
      <alignment horizontal="right" vertical="center"/>
    </xf>
    <xf numFmtId="164" fontId="142" fillId="2" borderId="41" xfId="0" applyNumberFormat="1" applyFont="1" applyFill="1" applyBorder="1" applyAlignment="1">
      <alignment horizontal="right" vertical="center"/>
    </xf>
    <xf numFmtId="0" fontId="156" fillId="6" borderId="32" xfId="0" applyFont="1" applyFill="1" applyBorder="1" applyAlignment="1">
      <alignment horizontal="center" vertical="center"/>
    </xf>
    <xf numFmtId="0" fontId="156" fillId="6" borderId="21" xfId="0" applyFont="1" applyFill="1" applyBorder="1" applyAlignment="1">
      <alignment horizontal="center" vertical="center"/>
    </xf>
    <xf numFmtId="0" fontId="156" fillId="6" borderId="33" xfId="0" applyFont="1" applyFill="1" applyBorder="1" applyAlignment="1">
      <alignment horizontal="center" vertical="center"/>
    </xf>
    <xf numFmtId="0" fontId="156" fillId="6" borderId="27" xfId="0" applyFont="1" applyFill="1" applyBorder="1" applyAlignment="1">
      <alignment horizontal="center" vertical="center"/>
    </xf>
    <xf numFmtId="0" fontId="156" fillId="6" borderId="105" xfId="0" applyFont="1" applyFill="1" applyBorder="1" applyAlignment="1">
      <alignment horizontal="center" vertical="center"/>
    </xf>
    <xf numFmtId="0" fontId="156" fillId="6" borderId="15" xfId="0" applyFont="1" applyFill="1" applyBorder="1" applyAlignment="1">
      <alignment horizontal="center" vertical="center"/>
    </xf>
    <xf numFmtId="0" fontId="142" fillId="6" borderId="22" xfId="0" applyFont="1" applyFill="1" applyBorder="1" applyAlignment="1">
      <alignment horizontal="left" vertical="center"/>
    </xf>
    <xf numFmtId="0" fontId="142" fillId="6" borderId="23" xfId="0" applyFont="1" applyFill="1" applyBorder="1" applyAlignment="1">
      <alignment horizontal="left" vertical="center"/>
    </xf>
    <xf numFmtId="0" fontId="142" fillId="6" borderId="24" xfId="0" applyFont="1" applyFill="1" applyBorder="1" applyAlignment="1">
      <alignment horizontal="left" vertical="center"/>
    </xf>
    <xf numFmtId="0" fontId="156" fillId="6" borderId="14" xfId="0" applyFont="1" applyFill="1" applyBorder="1" applyAlignment="1">
      <alignment horizontal="center" vertical="center"/>
    </xf>
    <xf numFmtId="0" fontId="82" fillId="5" borderId="95" xfId="0" applyFont="1" applyFill="1" applyBorder="1" applyAlignment="1">
      <alignment horizontal="center" vertical="center"/>
    </xf>
    <xf numFmtId="0" fontId="82" fillId="5" borderId="54" xfId="0" applyFont="1" applyFill="1" applyBorder="1" applyAlignment="1">
      <alignment horizontal="center" vertical="center"/>
    </xf>
    <xf numFmtId="0" fontId="82" fillId="5" borderId="96" xfId="0" applyFont="1" applyFill="1" applyBorder="1" applyAlignment="1">
      <alignment horizontal="center" vertical="center"/>
    </xf>
    <xf numFmtId="0" fontId="144" fillId="10" borderId="2" xfId="0" applyFont="1" applyFill="1" applyBorder="1" applyAlignment="1">
      <alignment horizontal="center"/>
    </xf>
    <xf numFmtId="0" fontId="0" fillId="2" borderId="99" xfId="0" applyFill="1" applyBorder="1" applyAlignment="1">
      <alignment horizontal="center"/>
    </xf>
    <xf numFmtId="0" fontId="131" fillId="6" borderId="2" xfId="0" applyFont="1" applyFill="1" applyBorder="1" applyAlignment="1">
      <alignment horizontal="center" vertical="center"/>
    </xf>
    <xf numFmtId="0" fontId="131" fillId="6" borderId="0" xfId="0" applyFont="1" applyFill="1" applyAlignment="1">
      <alignment horizontal="center" vertical="center"/>
    </xf>
    <xf numFmtId="0" fontId="131" fillId="6" borderId="81" xfId="0" applyFont="1" applyFill="1" applyBorder="1" applyAlignment="1">
      <alignment horizontal="center" vertical="center"/>
    </xf>
    <xf numFmtId="0" fontId="142" fillId="6" borderId="14" xfId="0" applyFont="1" applyFill="1" applyBorder="1" applyAlignment="1">
      <alignment horizontal="center" vertical="center"/>
    </xf>
    <xf numFmtId="0" fontId="142" fillId="6" borderId="105" xfId="0" applyFont="1" applyFill="1" applyBorder="1" applyAlignment="1">
      <alignment horizontal="center" vertical="center"/>
    </xf>
    <xf numFmtId="0" fontId="142" fillId="6" borderId="15" xfId="0" applyFont="1" applyFill="1" applyBorder="1" applyAlignment="1">
      <alignment horizontal="center" vertical="center"/>
    </xf>
    <xf numFmtId="164" fontId="142" fillId="2" borderId="22" xfId="0" applyNumberFormat="1" applyFont="1" applyFill="1" applyBorder="1" applyAlignment="1">
      <alignment horizontal="right" vertical="center"/>
    </xf>
    <xf numFmtId="164" fontId="142" fillId="2" borderId="24" xfId="0" applyNumberFormat="1" applyFont="1" applyFill="1" applyBorder="1" applyAlignment="1">
      <alignment horizontal="right" vertical="center"/>
    </xf>
    <xf numFmtId="0" fontId="142" fillId="6" borderId="32" xfId="0" applyFont="1" applyFill="1" applyBorder="1" applyAlignment="1">
      <alignment horizontal="right" vertical="center"/>
    </xf>
    <xf numFmtId="0" fontId="142" fillId="6" borderId="21" xfId="0" applyFont="1" applyFill="1" applyBorder="1" applyAlignment="1">
      <alignment horizontal="right" vertical="center"/>
    </xf>
    <xf numFmtId="0" fontId="142" fillId="6" borderId="33" xfId="0" applyFont="1" applyFill="1" applyBorder="1" applyAlignment="1">
      <alignment horizontal="right" vertical="center"/>
    </xf>
    <xf numFmtId="0" fontId="142" fillId="6" borderId="19" xfId="0" applyFont="1" applyFill="1" applyBorder="1" applyAlignment="1">
      <alignment horizontal="right" vertical="center"/>
    </xf>
    <xf numFmtId="0" fontId="142" fillId="6" borderId="16" xfId="0" applyFont="1" applyFill="1" applyBorder="1" applyAlignment="1">
      <alignment horizontal="right" vertical="center"/>
    </xf>
    <xf numFmtId="0" fontId="142" fillId="6" borderId="20" xfId="0" applyFont="1" applyFill="1" applyBorder="1" applyAlignment="1">
      <alignment horizontal="right" vertical="center"/>
    </xf>
    <xf numFmtId="0" fontId="142" fillId="6" borderId="40" xfId="0" applyFont="1" applyFill="1" applyBorder="1" applyAlignment="1">
      <alignment horizontal="right" vertical="center"/>
    </xf>
    <xf numFmtId="0" fontId="142" fillId="6" borderId="54" xfId="0" applyFont="1" applyFill="1" applyBorder="1" applyAlignment="1">
      <alignment horizontal="right" vertical="center"/>
    </xf>
    <xf numFmtId="0" fontId="142" fillId="6" borderId="41" xfId="0" applyFont="1" applyFill="1" applyBorder="1" applyAlignment="1">
      <alignment horizontal="right" vertical="center"/>
    </xf>
    <xf numFmtId="164" fontId="45" fillId="2" borderId="2" xfId="0" applyNumberFormat="1" applyFont="1" applyFill="1" applyBorder="1" applyAlignment="1">
      <alignment horizontal="right" vertical="center"/>
    </xf>
    <xf numFmtId="164" fontId="45" fillId="2" borderId="3" xfId="0" applyNumberFormat="1" applyFont="1" applyFill="1" applyBorder="1" applyAlignment="1">
      <alignment horizontal="right" vertical="center"/>
    </xf>
    <xf numFmtId="164" fontId="45" fillId="2" borderId="30" xfId="0" applyNumberFormat="1" applyFont="1" applyFill="1" applyBorder="1" applyAlignment="1">
      <alignment horizontal="right" vertical="center"/>
    </xf>
    <xf numFmtId="164" fontId="45" fillId="2" borderId="31" xfId="0" applyNumberFormat="1" applyFont="1" applyFill="1" applyBorder="1" applyAlignment="1">
      <alignment horizontal="right" vertical="center"/>
    </xf>
    <xf numFmtId="164" fontId="45" fillId="2" borderId="40" xfId="0" applyNumberFormat="1" applyFont="1" applyFill="1" applyBorder="1" applyAlignment="1">
      <alignment horizontal="right" vertical="center"/>
    </xf>
    <xf numFmtId="164" fontId="45" fillId="2" borderId="41" xfId="0" applyNumberFormat="1" applyFont="1" applyFill="1" applyBorder="1" applyAlignment="1">
      <alignment horizontal="right" vertical="center"/>
    </xf>
    <xf numFmtId="0" fontId="142" fillId="6" borderId="2" xfId="0" applyFont="1" applyFill="1" applyBorder="1" applyAlignment="1">
      <alignment horizontal="right" vertical="center"/>
    </xf>
    <xf numFmtId="0" fontId="142" fillId="6" borderId="0" xfId="0" applyFont="1" applyFill="1" applyAlignment="1">
      <alignment horizontal="right" vertical="center"/>
    </xf>
    <xf numFmtId="0" fontId="142" fillId="6" borderId="3" xfId="0" applyFont="1" applyFill="1" applyBorder="1" applyAlignment="1">
      <alignment horizontal="right" vertical="center"/>
    </xf>
    <xf numFmtId="164" fontId="142" fillId="6" borderId="19" xfId="0" applyNumberFormat="1" applyFont="1" applyFill="1" applyBorder="1" applyAlignment="1">
      <alignment horizontal="right" vertical="center"/>
    </xf>
    <xf numFmtId="164" fontId="142" fillId="6" borderId="16" xfId="0" applyNumberFormat="1" applyFont="1" applyFill="1" applyBorder="1" applyAlignment="1">
      <alignment horizontal="right" vertical="center"/>
    </xf>
    <xf numFmtId="164" fontId="142" fillId="6" borderId="20" xfId="0" applyNumberFormat="1" applyFont="1" applyFill="1" applyBorder="1" applyAlignment="1">
      <alignment horizontal="right" vertical="center"/>
    </xf>
    <xf numFmtId="0" fontId="142" fillId="6" borderId="44" xfId="0" applyFont="1" applyFill="1" applyBorder="1" applyAlignment="1">
      <alignment horizontal="right" vertical="center"/>
    </xf>
    <xf numFmtId="0" fontId="142" fillId="6" borderId="52" xfId="0" applyFont="1" applyFill="1" applyBorder="1" applyAlignment="1">
      <alignment horizontal="right" vertical="center"/>
    </xf>
    <xf numFmtId="0" fontId="142" fillId="6" borderId="45" xfId="0" applyFont="1" applyFill="1" applyBorder="1" applyAlignment="1">
      <alignment horizontal="right" vertical="center"/>
    </xf>
    <xf numFmtId="164" fontId="45" fillId="2" borderId="12" xfId="0" applyNumberFormat="1" applyFont="1" applyFill="1" applyBorder="1" applyAlignment="1">
      <alignment horizontal="right" vertical="center"/>
    </xf>
    <xf numFmtId="164" fontId="45" fillId="2" borderId="13" xfId="0" applyNumberFormat="1" applyFont="1" applyFill="1" applyBorder="1" applyAlignment="1">
      <alignment horizontal="right" vertical="center"/>
    </xf>
    <xf numFmtId="164" fontId="45" fillId="2" borderId="19" xfId="0" applyNumberFormat="1" applyFont="1" applyFill="1" applyBorder="1" applyAlignment="1">
      <alignment horizontal="right" vertical="center"/>
    </xf>
    <xf numFmtId="164" fontId="45" fillId="2" borderId="20" xfId="0" applyNumberFormat="1" applyFont="1" applyFill="1" applyBorder="1" applyAlignment="1">
      <alignment horizontal="right" vertical="center"/>
    </xf>
    <xf numFmtId="164" fontId="45" fillId="2" borderId="46" xfId="0" applyNumberFormat="1" applyFont="1" applyFill="1" applyBorder="1" applyAlignment="1">
      <alignment horizontal="right" vertical="center"/>
    </xf>
    <xf numFmtId="164" fontId="45" fillId="2" borderId="47" xfId="0" applyNumberFormat="1" applyFont="1" applyFill="1" applyBorder="1" applyAlignment="1">
      <alignment horizontal="right" vertical="center"/>
    </xf>
    <xf numFmtId="164" fontId="45" fillId="2" borderId="21" xfId="5" applyNumberFormat="1" applyFont="1" applyFill="1" applyBorder="1" applyAlignment="1">
      <alignment horizontal="right" vertical="center"/>
    </xf>
    <xf numFmtId="164" fontId="45" fillId="2" borderId="33" xfId="5" applyNumberFormat="1" applyFont="1" applyFill="1" applyBorder="1" applyAlignment="1">
      <alignment horizontal="right" vertical="center"/>
    </xf>
    <xf numFmtId="0" fontId="272" fillId="7" borderId="44" xfId="5" applyFont="1" applyFill="1" applyBorder="1" applyAlignment="1">
      <alignment horizontal="center"/>
    </xf>
    <xf numFmtId="0" fontId="272" fillId="7" borderId="52" xfId="5" applyFont="1" applyFill="1" applyBorder="1" applyAlignment="1">
      <alignment horizontal="center"/>
    </xf>
    <xf numFmtId="0" fontId="272" fillId="7" borderId="45" xfId="5" applyFont="1" applyFill="1" applyBorder="1" applyAlignment="1">
      <alignment horizontal="center"/>
    </xf>
    <xf numFmtId="0" fontId="178" fillId="2" borderId="100" xfId="5" applyFont="1" applyFill="1" applyBorder="1" applyAlignment="1">
      <alignment horizontal="center" vertical="center"/>
    </xf>
    <xf numFmtId="0" fontId="178" fillId="2" borderId="1" xfId="5" applyFont="1" applyFill="1" applyBorder="1" applyAlignment="1">
      <alignment horizontal="center" vertical="center"/>
    </xf>
    <xf numFmtId="0" fontId="178" fillId="2" borderId="101" xfId="5" applyFont="1" applyFill="1" applyBorder="1" applyAlignment="1">
      <alignment horizontal="center" vertical="center"/>
    </xf>
    <xf numFmtId="0" fontId="179" fillId="2" borderId="103" xfId="5" applyFont="1" applyFill="1" applyBorder="1" applyAlignment="1">
      <alignment horizontal="center" vertical="center"/>
    </xf>
    <xf numFmtId="0" fontId="179" fillId="2" borderId="99" xfId="5" applyFont="1" applyFill="1" applyBorder="1" applyAlignment="1">
      <alignment horizontal="center" vertical="center"/>
    </xf>
    <xf numFmtId="0" fontId="179" fillId="2" borderId="104" xfId="5" applyFont="1" applyFill="1" applyBorder="1" applyAlignment="1">
      <alignment horizontal="center" vertical="center"/>
    </xf>
    <xf numFmtId="0" fontId="181" fillId="2" borderId="2" xfId="5" applyFont="1" applyFill="1" applyBorder="1" applyAlignment="1">
      <alignment horizontal="center" vertical="center"/>
    </xf>
    <xf numFmtId="0" fontId="181" fillId="2" borderId="0" xfId="5" applyFont="1" applyFill="1" applyAlignment="1">
      <alignment horizontal="center" vertical="center"/>
    </xf>
    <xf numFmtId="164" fontId="45" fillId="2" borderId="0" xfId="5" applyNumberFormat="1" applyFont="1" applyFill="1" applyAlignment="1">
      <alignment horizontal="center" vertical="center"/>
    </xf>
    <xf numFmtId="164" fontId="45" fillId="2" borderId="3" xfId="5" applyNumberFormat="1" applyFont="1" applyFill="1" applyBorder="1" applyAlignment="1">
      <alignment horizontal="center" vertical="center"/>
    </xf>
    <xf numFmtId="0" fontId="191" fillId="12" borderId="100" xfId="0" applyFont="1" applyFill="1" applyBorder="1" applyAlignment="1">
      <alignment horizontal="center" vertical="center"/>
    </xf>
    <xf numFmtId="0" fontId="191" fillId="12" borderId="106" xfId="0" applyFont="1" applyFill="1" applyBorder="1" applyAlignment="1">
      <alignment horizontal="center" vertical="center"/>
    </xf>
    <xf numFmtId="0" fontId="191" fillId="12" borderId="101" xfId="0" applyFont="1" applyFill="1" applyBorder="1" applyAlignment="1">
      <alignment horizontal="center" vertical="center"/>
    </xf>
    <xf numFmtId="0" fontId="191" fillId="12" borderId="2" xfId="0" applyFont="1" applyFill="1" applyBorder="1" applyAlignment="1">
      <alignment horizontal="center" vertical="center"/>
    </xf>
    <xf numFmtId="0" fontId="191" fillId="12" borderId="0" xfId="0" applyFont="1" applyFill="1" applyAlignment="1">
      <alignment horizontal="center" vertical="center"/>
    </xf>
    <xf numFmtId="0" fontId="191" fillId="12" borderId="3" xfId="0" applyFont="1" applyFill="1" applyBorder="1" applyAlignment="1">
      <alignment horizontal="center" vertical="center"/>
    </xf>
    <xf numFmtId="0" fontId="191" fillId="12" borderId="44" xfId="0" applyFont="1" applyFill="1" applyBorder="1" applyAlignment="1">
      <alignment horizontal="center" vertical="center"/>
    </xf>
    <xf numFmtId="0" fontId="191" fillId="12" borderId="52" xfId="0" applyFont="1" applyFill="1" applyBorder="1" applyAlignment="1">
      <alignment horizontal="center" vertical="center"/>
    </xf>
    <xf numFmtId="0" fontId="191" fillId="12" borderId="45" xfId="0" applyFont="1" applyFill="1" applyBorder="1" applyAlignment="1">
      <alignment horizontal="center" vertical="center"/>
    </xf>
    <xf numFmtId="164" fontId="45" fillId="2" borderId="16" xfId="5" applyNumberFormat="1" applyFont="1" applyFill="1" applyBorder="1" applyAlignment="1">
      <alignment horizontal="right" vertical="center"/>
    </xf>
    <xf numFmtId="164" fontId="45" fillId="2" borderId="20" xfId="5" applyNumberFormat="1" applyFont="1" applyFill="1" applyBorder="1" applyAlignment="1">
      <alignment horizontal="right" vertical="center"/>
    </xf>
    <xf numFmtId="0" fontId="177" fillId="12" borderId="2" xfId="5" applyFont="1" applyFill="1" applyBorder="1" applyAlignment="1">
      <alignment horizontal="center" vertical="center"/>
    </xf>
    <xf numFmtId="0" fontId="177" fillId="12" borderId="0" xfId="5" applyFont="1" applyFill="1" applyAlignment="1">
      <alignment horizontal="center" vertical="center"/>
    </xf>
    <xf numFmtId="0" fontId="177" fillId="12" borderId="3" xfId="5" applyFont="1" applyFill="1" applyBorder="1" applyAlignment="1">
      <alignment horizontal="center" vertical="center"/>
    </xf>
    <xf numFmtId="0" fontId="179" fillId="2" borderId="19" xfId="5" applyFont="1" applyFill="1" applyBorder="1" applyAlignment="1">
      <alignment horizontal="center" vertical="center"/>
    </xf>
    <xf numFmtId="0" fontId="179" fillId="2" borderId="16" xfId="5" applyFont="1" applyFill="1" applyBorder="1" applyAlignment="1">
      <alignment horizontal="center" vertical="center"/>
    </xf>
    <xf numFmtId="0" fontId="179" fillId="2" borderId="20" xfId="5" applyFont="1" applyFill="1" applyBorder="1" applyAlignment="1">
      <alignment horizontal="center" vertical="center"/>
    </xf>
    <xf numFmtId="0" fontId="179" fillId="2" borderId="32" xfId="5" applyFont="1" applyFill="1" applyBorder="1" applyAlignment="1">
      <alignment horizontal="center" vertical="center"/>
    </xf>
    <xf numFmtId="0" fontId="179" fillId="2" borderId="21" xfId="5" applyFont="1" applyFill="1" applyBorder="1" applyAlignment="1">
      <alignment horizontal="center" vertical="center"/>
    </xf>
    <xf numFmtId="0" fontId="179" fillId="2" borderId="33" xfId="5" applyFont="1" applyFill="1" applyBorder="1" applyAlignment="1">
      <alignment horizontal="center" vertical="center"/>
    </xf>
    <xf numFmtId="0" fontId="179" fillId="2" borderId="25" xfId="5" applyFont="1" applyFill="1" applyBorder="1" applyAlignment="1">
      <alignment horizontal="center" vertical="center"/>
    </xf>
    <xf numFmtId="0" fontId="179" fillId="2" borderId="26" xfId="5" applyFont="1" applyFill="1" applyBorder="1" applyAlignment="1">
      <alignment horizontal="center" vertical="center"/>
    </xf>
    <xf numFmtId="0" fontId="179" fillId="2" borderId="27" xfId="5" applyFont="1" applyFill="1" applyBorder="1" applyAlignment="1">
      <alignment horizontal="center" vertical="center"/>
    </xf>
    <xf numFmtId="164" fontId="45" fillId="2" borderId="44" xfId="0" applyNumberFormat="1" applyFont="1" applyFill="1" applyBorder="1" applyAlignment="1">
      <alignment horizontal="right" vertical="center"/>
    </xf>
    <xf numFmtId="164" fontId="45" fillId="2" borderId="45" xfId="0" applyNumberFormat="1" applyFont="1" applyFill="1" applyBorder="1" applyAlignment="1">
      <alignment horizontal="right" vertical="center"/>
    </xf>
    <xf numFmtId="164" fontId="45" fillId="2" borderId="6" xfId="5" applyNumberFormat="1" applyFont="1" applyFill="1" applyBorder="1" applyAlignment="1">
      <alignment horizontal="center"/>
    </xf>
    <xf numFmtId="0" fontId="136" fillId="5" borderId="5" xfId="5" applyFont="1" applyFill="1" applyBorder="1" applyAlignment="1">
      <alignment horizontal="center" vertical="center"/>
    </xf>
    <xf numFmtId="0" fontId="136" fillId="5" borderId="6" xfId="5" applyFont="1" applyFill="1" applyBorder="1" applyAlignment="1">
      <alignment horizontal="center" vertical="center"/>
    </xf>
    <xf numFmtId="0" fontId="136" fillId="5" borderId="7" xfId="5" applyFont="1" applyFill="1" applyBorder="1" applyAlignment="1">
      <alignment horizontal="center" vertical="center"/>
    </xf>
    <xf numFmtId="0" fontId="177" fillId="16" borderId="12" xfId="5" applyFont="1" applyFill="1" applyBorder="1" applyAlignment="1">
      <alignment horizontal="center" vertical="center"/>
    </xf>
    <xf numFmtId="0" fontId="177" fillId="16" borderId="1" xfId="5" applyFont="1" applyFill="1" applyBorder="1" applyAlignment="1">
      <alignment horizontal="center" vertical="center"/>
    </xf>
    <xf numFmtId="0" fontId="177" fillId="16" borderId="13" xfId="5" applyFont="1" applyFill="1" applyBorder="1" applyAlignment="1">
      <alignment horizontal="center" vertical="center"/>
    </xf>
    <xf numFmtId="0" fontId="177" fillId="16" borderId="2" xfId="5" applyFont="1" applyFill="1" applyBorder="1" applyAlignment="1">
      <alignment horizontal="center" vertical="center"/>
    </xf>
    <xf numFmtId="0" fontId="177" fillId="16" borderId="0" xfId="5" applyFont="1" applyFill="1" applyAlignment="1">
      <alignment horizontal="center" vertical="center"/>
    </xf>
    <xf numFmtId="0" fontId="177" fillId="16" borderId="3" xfId="5" applyFont="1" applyFill="1" applyBorder="1" applyAlignment="1">
      <alignment horizontal="center" vertical="center"/>
    </xf>
    <xf numFmtId="0" fontId="101" fillId="7" borderId="12" xfId="5" applyFont="1" applyFill="1" applyBorder="1" applyAlignment="1">
      <alignment horizontal="center" vertical="center"/>
    </xf>
    <xf numFmtId="0" fontId="101" fillId="7" borderId="1" xfId="5" applyFont="1" applyFill="1" applyBorder="1" applyAlignment="1">
      <alignment horizontal="center" vertical="center"/>
    </xf>
    <xf numFmtId="0" fontId="101" fillId="7" borderId="13" xfId="5" applyFont="1" applyFill="1" applyBorder="1" applyAlignment="1">
      <alignment horizontal="center" vertical="center"/>
    </xf>
    <xf numFmtId="164" fontId="45" fillId="2" borderId="26" xfId="5" applyNumberFormat="1" applyFont="1" applyFill="1" applyBorder="1" applyAlignment="1">
      <alignment horizontal="right" vertical="center"/>
    </xf>
    <xf numFmtId="164" fontId="45" fillId="2" borderId="27" xfId="5" applyNumberFormat="1" applyFont="1" applyFill="1" applyBorder="1" applyAlignment="1">
      <alignment horizontal="right" vertical="center"/>
    </xf>
    <xf numFmtId="0" fontId="151" fillId="7" borderId="2" xfId="5" applyFont="1" applyFill="1" applyBorder="1" applyAlignment="1">
      <alignment horizontal="center" vertical="center"/>
    </xf>
    <xf numFmtId="0" fontId="101" fillId="7" borderId="0" xfId="5" applyFont="1" applyFill="1" applyAlignment="1">
      <alignment horizontal="center" vertical="center"/>
    </xf>
    <xf numFmtId="0" fontId="101" fillId="7" borderId="3" xfId="5" applyFont="1" applyFill="1" applyBorder="1" applyAlignment="1">
      <alignment horizontal="center" vertical="center"/>
    </xf>
    <xf numFmtId="0" fontId="185" fillId="3" borderId="55" xfId="5" applyFont="1" applyFill="1" applyBorder="1" applyAlignment="1">
      <alignment horizontal="center" vertical="center"/>
    </xf>
    <xf numFmtId="0" fontId="185" fillId="3" borderId="56" xfId="5" applyFont="1" applyFill="1" applyBorder="1" applyAlignment="1">
      <alignment horizontal="center" vertical="center"/>
    </xf>
    <xf numFmtId="0" fontId="185" fillId="3" borderId="57" xfId="5" applyFont="1" applyFill="1" applyBorder="1" applyAlignment="1">
      <alignment horizontal="center" vertical="center"/>
    </xf>
    <xf numFmtId="164" fontId="45" fillId="2" borderId="98" xfId="5" applyNumberFormat="1" applyFont="1" applyFill="1" applyBorder="1" applyAlignment="1">
      <alignment horizontal="right" vertical="center"/>
    </xf>
    <xf numFmtId="164" fontId="45" fillId="2" borderId="104" xfId="5" applyNumberFormat="1" applyFont="1" applyFill="1" applyBorder="1" applyAlignment="1">
      <alignment horizontal="right" vertical="center"/>
    </xf>
    <xf numFmtId="164" fontId="45" fillId="2" borderId="4" xfId="5" applyNumberFormat="1" applyFont="1" applyFill="1" applyBorder="1" applyAlignment="1">
      <alignment horizontal="right" vertical="center"/>
    </xf>
    <xf numFmtId="164" fontId="45" fillId="2" borderId="15" xfId="5" applyNumberFormat="1" applyFont="1" applyFill="1" applyBorder="1" applyAlignment="1">
      <alignment horizontal="right" vertical="center"/>
    </xf>
    <xf numFmtId="0" fontId="179" fillId="2" borderId="60" xfId="5" applyFont="1" applyFill="1" applyBorder="1" applyAlignment="1">
      <alignment horizontal="center" vertical="center"/>
    </xf>
    <xf numFmtId="0" fontId="179" fillId="2" borderId="63" xfId="5" applyFont="1" applyFill="1" applyBorder="1" applyAlignment="1">
      <alignment horizontal="center" vertical="center"/>
    </xf>
    <xf numFmtId="0" fontId="179" fillId="2" borderId="62" xfId="5" applyFont="1" applyFill="1" applyBorder="1" applyAlignment="1">
      <alignment horizontal="center" vertical="center"/>
    </xf>
    <xf numFmtId="0" fontId="188" fillId="2" borderId="14" xfId="5" applyFont="1" applyFill="1" applyBorder="1" applyAlignment="1">
      <alignment horizontal="center" vertical="center"/>
    </xf>
    <xf numFmtId="0" fontId="188" fillId="2" borderId="4" xfId="5" applyFont="1" applyFill="1" applyBorder="1" applyAlignment="1">
      <alignment horizontal="center" vertical="center"/>
    </xf>
    <xf numFmtId="0" fontId="188" fillId="2" borderId="15" xfId="5" applyFont="1" applyFill="1" applyBorder="1" applyAlignment="1">
      <alignment horizontal="center" vertical="center"/>
    </xf>
    <xf numFmtId="0" fontId="188" fillId="2" borderId="5" xfId="5" applyFont="1" applyFill="1" applyBorder="1" applyAlignment="1">
      <alignment horizontal="center" vertical="center"/>
    </xf>
    <xf numFmtId="0" fontId="188" fillId="2" borderId="6" xfId="5" applyFont="1" applyFill="1" applyBorder="1" applyAlignment="1">
      <alignment horizontal="center" vertical="center"/>
    </xf>
    <xf numFmtId="0" fontId="188" fillId="2" borderId="7" xfId="5" applyFont="1" applyFill="1" applyBorder="1" applyAlignment="1">
      <alignment horizontal="center" vertical="center"/>
    </xf>
    <xf numFmtId="0" fontId="177" fillId="16" borderId="14" xfId="5" applyFont="1" applyFill="1" applyBorder="1" applyAlignment="1">
      <alignment horizontal="center" vertical="center"/>
    </xf>
    <xf numFmtId="0" fontId="177" fillId="16" borderId="4" xfId="5" applyFont="1" applyFill="1" applyBorder="1" applyAlignment="1">
      <alignment horizontal="center" vertical="center"/>
    </xf>
    <xf numFmtId="0" fontId="177" fillId="16" borderId="15" xfId="5" applyFont="1" applyFill="1" applyBorder="1" applyAlignment="1">
      <alignment horizontal="center" vertical="center"/>
    </xf>
    <xf numFmtId="0" fontId="177" fillId="12" borderId="12" xfId="5" applyFont="1" applyFill="1" applyBorder="1" applyAlignment="1">
      <alignment horizontal="center" vertical="center"/>
    </xf>
    <xf numFmtId="0" fontId="177" fillId="12" borderId="1" xfId="5" applyFont="1" applyFill="1" applyBorder="1" applyAlignment="1">
      <alignment horizontal="center" vertical="center"/>
    </xf>
    <xf numFmtId="0" fontId="177" fillId="12" borderId="13" xfId="5" applyFont="1" applyFill="1" applyBorder="1" applyAlignment="1">
      <alignment horizontal="center" vertical="center"/>
    </xf>
    <xf numFmtId="164" fontId="45" fillId="2" borderId="42" xfId="0" applyNumberFormat="1" applyFont="1" applyFill="1" applyBorder="1" applyAlignment="1">
      <alignment horizontal="right" vertical="center"/>
    </xf>
    <xf numFmtId="164" fontId="45" fillId="2" borderId="43" xfId="0" applyNumberFormat="1" applyFont="1" applyFill="1" applyBorder="1" applyAlignment="1">
      <alignment horizontal="right" vertical="center"/>
    </xf>
    <xf numFmtId="0" fontId="183" fillId="2" borderId="0" xfId="0" applyFont="1" applyFill="1" applyAlignment="1">
      <alignment horizontal="center" vertical="center"/>
    </xf>
    <xf numFmtId="0" fontId="184" fillId="2" borderId="0" xfId="0" applyFont="1" applyFill="1" applyAlignment="1">
      <alignment horizontal="center" vertical="center"/>
    </xf>
    <xf numFmtId="0" fontId="142" fillId="6" borderId="25" xfId="0" applyFont="1" applyFill="1" applyBorder="1" applyAlignment="1">
      <alignment horizontal="right" vertical="center"/>
    </xf>
    <xf numFmtId="0" fontId="142" fillId="6" borderId="26" xfId="0" applyFont="1" applyFill="1" applyBorder="1" applyAlignment="1">
      <alignment horizontal="right" vertical="center"/>
    </xf>
    <xf numFmtId="0" fontId="142" fillId="6" borderId="27" xfId="0" applyFont="1" applyFill="1" applyBorder="1" applyAlignment="1">
      <alignment horizontal="right" vertical="center"/>
    </xf>
    <xf numFmtId="0" fontId="142" fillId="6" borderId="30" xfId="0" applyFont="1" applyFill="1" applyBorder="1" applyAlignment="1">
      <alignment horizontal="right" vertical="center"/>
    </xf>
    <xf numFmtId="0" fontId="142" fillId="6" borderId="35" xfId="0" applyFont="1" applyFill="1" applyBorder="1" applyAlignment="1">
      <alignment horizontal="right" vertical="center"/>
    </xf>
    <xf numFmtId="0" fontId="142" fillId="6" borderId="31" xfId="0" applyFont="1" applyFill="1" applyBorder="1" applyAlignment="1">
      <alignment horizontal="right" vertical="center"/>
    </xf>
    <xf numFmtId="0" fontId="142" fillId="6" borderId="60" xfId="0" applyFont="1" applyFill="1" applyBorder="1" applyAlignment="1">
      <alignment horizontal="right" vertical="center"/>
    </xf>
    <xf numFmtId="0" fontId="142" fillId="6" borderId="63" xfId="0" applyFont="1" applyFill="1" applyBorder="1" applyAlignment="1">
      <alignment horizontal="right" vertical="center"/>
    </xf>
    <xf numFmtId="0" fontId="142" fillId="6" borderId="62" xfId="0" applyFont="1" applyFill="1" applyBorder="1" applyAlignment="1">
      <alignment horizontal="right" vertical="center"/>
    </xf>
    <xf numFmtId="0" fontId="45" fillId="2" borderId="0" xfId="5" applyFont="1" applyFill="1" applyAlignment="1">
      <alignment horizontal="center" vertical="center"/>
    </xf>
    <xf numFmtId="0" fontId="179" fillId="2" borderId="0" xfId="5" applyFont="1" applyFill="1" applyAlignment="1">
      <alignment horizontal="center" vertical="center"/>
    </xf>
    <xf numFmtId="0" fontId="191" fillId="2" borderId="0" xfId="0" applyFont="1" applyFill="1" applyAlignment="1">
      <alignment horizontal="center" vertical="center"/>
    </xf>
    <xf numFmtId="0" fontId="190" fillId="2" borderId="0" xfId="0" applyFont="1" applyFill="1" applyAlignment="1">
      <alignment horizontal="center" vertical="center"/>
    </xf>
    <xf numFmtId="0" fontId="192" fillId="2" borderId="0" xfId="0" applyFont="1" applyFill="1" applyAlignment="1">
      <alignment horizontal="center" vertical="center"/>
    </xf>
    <xf numFmtId="0" fontId="192" fillId="19" borderId="0" xfId="0" applyFont="1" applyFill="1" applyAlignment="1">
      <alignment horizontal="center" vertical="center"/>
    </xf>
    <xf numFmtId="0" fontId="14" fillId="2" borderId="0" xfId="5" applyFill="1" applyAlignment="1">
      <alignment horizontal="right"/>
    </xf>
    <xf numFmtId="0" fontId="249" fillId="10" borderId="60" xfId="0" applyFont="1" applyFill="1" applyBorder="1" applyAlignment="1">
      <alignment horizontal="left"/>
    </xf>
    <xf numFmtId="0" fontId="249" fillId="10" borderId="63" xfId="0" applyFont="1" applyFill="1" applyBorder="1" applyAlignment="1">
      <alignment horizontal="left"/>
    </xf>
    <xf numFmtId="0" fontId="249" fillId="10" borderId="62" xfId="0" applyFont="1" applyFill="1" applyBorder="1" applyAlignment="1">
      <alignment horizontal="left"/>
    </xf>
    <xf numFmtId="164" fontId="45" fillId="2" borderId="60" xfId="0" applyNumberFormat="1" applyFont="1" applyFill="1" applyBorder="1" applyAlignment="1">
      <alignment horizontal="right" vertical="center"/>
    </xf>
    <xf numFmtId="164" fontId="45" fillId="2" borderId="62" xfId="0" applyNumberFormat="1" applyFont="1" applyFill="1" applyBorder="1" applyAlignment="1">
      <alignment horizontal="right" vertical="center"/>
    </xf>
    <xf numFmtId="0" fontId="190" fillId="18" borderId="56" xfId="0" applyFont="1" applyFill="1" applyBorder="1" applyAlignment="1">
      <alignment horizontal="center" vertical="center"/>
    </xf>
    <xf numFmtId="0" fontId="190" fillId="18" borderId="43" xfId="0" applyFont="1" applyFill="1" applyBorder="1" applyAlignment="1">
      <alignment horizontal="center" vertical="center"/>
    </xf>
    <xf numFmtId="0" fontId="298" fillId="2" borderId="1" xfId="1" applyFont="1" applyFill="1" applyBorder="1" applyAlignment="1" applyProtection="1">
      <alignment horizontal="center" vertical="center"/>
    </xf>
    <xf numFmtId="0" fontId="270" fillId="2" borderId="0" xfId="5" applyFont="1" applyFill="1" applyAlignment="1">
      <alignment horizontal="center" vertical="center"/>
    </xf>
    <xf numFmtId="0" fontId="101" fillId="2" borderId="0" xfId="5" applyFont="1" applyFill="1" applyAlignment="1">
      <alignment horizontal="center" vertical="center"/>
    </xf>
    <xf numFmtId="0" fontId="54" fillId="2" borderId="6" xfId="0" applyFont="1" applyFill="1" applyBorder="1" applyAlignment="1">
      <alignment horizontal="center" vertical="center"/>
    </xf>
    <xf numFmtId="164" fontId="43" fillId="2" borderId="5" xfId="0" applyNumberFormat="1" applyFont="1" applyFill="1" applyBorder="1" applyAlignment="1">
      <alignment horizontal="right" vertical="center"/>
    </xf>
    <xf numFmtId="164" fontId="43" fillId="2" borderId="7" xfId="0" applyNumberFormat="1" applyFont="1" applyFill="1" applyBorder="1" applyAlignment="1">
      <alignment horizontal="right" vertical="center"/>
    </xf>
    <xf numFmtId="0" fontId="45" fillId="2" borderId="12" xfId="5" applyFont="1" applyFill="1" applyBorder="1" applyAlignment="1">
      <alignment horizontal="center" vertical="center"/>
    </xf>
    <xf numFmtId="0" fontId="45" fillId="2" borderId="1" xfId="5" applyFont="1" applyFill="1" applyBorder="1" applyAlignment="1">
      <alignment horizontal="center" vertical="center"/>
    </xf>
    <xf numFmtId="0" fontId="45" fillId="2" borderId="13" xfId="5" applyFont="1" applyFill="1" applyBorder="1" applyAlignment="1">
      <alignment horizontal="center" vertical="center"/>
    </xf>
    <xf numFmtId="0" fontId="142" fillId="6" borderId="46" xfId="0" applyFont="1" applyFill="1" applyBorder="1" applyAlignment="1">
      <alignment horizontal="right" vertical="center"/>
    </xf>
    <xf numFmtId="0" fontId="142" fillId="6" borderId="50" xfId="0" applyFont="1" applyFill="1" applyBorder="1" applyAlignment="1">
      <alignment horizontal="right" vertical="center"/>
    </xf>
    <xf numFmtId="0" fontId="142" fillId="6" borderId="47" xfId="0" applyFont="1" applyFill="1" applyBorder="1" applyAlignment="1">
      <alignment horizontal="right" vertical="center"/>
    </xf>
    <xf numFmtId="0" fontId="82" fillId="20" borderId="5" xfId="0" applyFont="1" applyFill="1" applyBorder="1" applyAlignment="1">
      <alignment horizontal="center" vertical="center"/>
    </xf>
    <xf numFmtId="0" fontId="82" fillId="20" borderId="6" xfId="0" applyFont="1" applyFill="1" applyBorder="1" applyAlignment="1">
      <alignment horizontal="center" vertical="center"/>
    </xf>
    <xf numFmtId="0" fontId="179" fillId="2" borderId="2" xfId="5" applyFont="1" applyFill="1" applyBorder="1" applyAlignment="1">
      <alignment horizontal="center" vertical="center"/>
    </xf>
    <xf numFmtId="0" fontId="179" fillId="2" borderId="3" xfId="5" applyFont="1" applyFill="1" applyBorder="1" applyAlignment="1">
      <alignment horizontal="center" vertical="center"/>
    </xf>
    <xf numFmtId="0" fontId="45" fillId="2" borderId="2" xfId="5" applyFont="1" applyFill="1" applyBorder="1" applyAlignment="1">
      <alignment horizontal="center" vertical="center"/>
    </xf>
    <xf numFmtId="0" fontId="45" fillId="2" borderId="3" xfId="5" applyFont="1" applyFill="1" applyBorder="1" applyAlignment="1">
      <alignment horizontal="center" vertical="center"/>
    </xf>
    <xf numFmtId="0" fontId="45" fillId="2" borderId="14" xfId="5" applyFont="1" applyFill="1" applyBorder="1" applyAlignment="1">
      <alignment horizontal="center" vertical="center"/>
    </xf>
    <xf numFmtId="0" fontId="45" fillId="2" borderId="4" xfId="5" applyFont="1" applyFill="1" applyBorder="1" applyAlignment="1">
      <alignment horizontal="center" vertical="center"/>
    </xf>
    <xf numFmtId="0" fontId="45" fillId="2" borderId="15" xfId="5" applyFont="1" applyFill="1" applyBorder="1" applyAlignment="1">
      <alignment horizontal="center" vertical="center"/>
    </xf>
    <xf numFmtId="0" fontId="179" fillId="2" borderId="100" xfId="5" applyFont="1" applyFill="1" applyBorder="1" applyAlignment="1">
      <alignment horizontal="center" vertical="center"/>
    </xf>
    <xf numFmtId="0" fontId="179" fillId="2" borderId="1" xfId="5" applyFont="1" applyFill="1" applyBorder="1" applyAlignment="1">
      <alignment horizontal="center" vertical="center"/>
    </xf>
    <xf numFmtId="0" fontId="179" fillId="2" borderId="101" xfId="5" applyFont="1" applyFill="1" applyBorder="1" applyAlignment="1">
      <alignment horizontal="center" vertical="center"/>
    </xf>
    <xf numFmtId="0" fontId="82" fillId="7" borderId="2" xfId="0" applyFont="1" applyFill="1" applyBorder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82" fillId="7" borderId="3" xfId="0" applyFont="1" applyFill="1" applyBorder="1" applyAlignment="1">
      <alignment horizontal="center" vertical="center"/>
    </xf>
    <xf numFmtId="0" fontId="179" fillId="2" borderId="14" xfId="5" applyFont="1" applyFill="1" applyBorder="1" applyAlignment="1">
      <alignment horizontal="center" vertical="top"/>
    </xf>
    <xf numFmtId="0" fontId="179" fillId="2" borderId="105" xfId="5" applyFont="1" applyFill="1" applyBorder="1" applyAlignment="1">
      <alignment horizontal="center" vertical="top"/>
    </xf>
    <xf numFmtId="0" fontId="179" fillId="2" borderId="15" xfId="5" applyFont="1" applyFill="1" applyBorder="1" applyAlignment="1">
      <alignment horizontal="center" vertical="top"/>
    </xf>
    <xf numFmtId="0" fontId="191" fillId="23" borderId="2" xfId="0" applyFont="1" applyFill="1" applyBorder="1" applyAlignment="1">
      <alignment horizontal="center" vertical="center"/>
    </xf>
    <xf numFmtId="0" fontId="0" fillId="0" borderId="2" xfId="0" applyBorder="1"/>
    <xf numFmtId="0" fontId="0" fillId="0" borderId="44" xfId="0" applyBorder="1"/>
    <xf numFmtId="0" fontId="0" fillId="0" borderId="52" xfId="0" applyBorder="1"/>
    <xf numFmtId="0" fontId="0" fillId="0" borderId="45" xfId="0" applyBorder="1"/>
    <xf numFmtId="0" fontId="191" fillId="14" borderId="2" xfId="0" applyFont="1" applyFill="1" applyBorder="1" applyAlignment="1">
      <alignment horizontal="center" vertical="center"/>
    </xf>
    <xf numFmtId="0" fontId="191" fillId="14" borderId="0" xfId="0" applyFont="1" applyFill="1" applyAlignment="1">
      <alignment horizontal="center" vertical="center"/>
    </xf>
    <xf numFmtId="0" fontId="191" fillId="14" borderId="3" xfId="0" applyFont="1" applyFill="1" applyBorder="1" applyAlignment="1">
      <alignment horizontal="center" vertical="center"/>
    </xf>
    <xf numFmtId="0" fontId="191" fillId="14" borderId="44" xfId="0" applyFont="1" applyFill="1" applyBorder="1" applyAlignment="1">
      <alignment horizontal="center" vertical="center"/>
    </xf>
    <xf numFmtId="0" fontId="191" fillId="14" borderId="52" xfId="0" applyFont="1" applyFill="1" applyBorder="1" applyAlignment="1">
      <alignment horizontal="center" vertical="center"/>
    </xf>
    <xf numFmtId="0" fontId="191" fillId="14" borderId="45" xfId="0" applyFont="1" applyFill="1" applyBorder="1" applyAlignment="1">
      <alignment horizontal="center" vertical="center"/>
    </xf>
    <xf numFmtId="0" fontId="191" fillId="25" borderId="2" xfId="0" applyFont="1" applyFill="1" applyBorder="1" applyAlignment="1">
      <alignment horizontal="center" vertical="center"/>
    </xf>
    <xf numFmtId="0" fontId="191" fillId="25" borderId="0" xfId="0" applyFont="1" applyFill="1" applyAlignment="1">
      <alignment horizontal="center" vertical="center"/>
    </xf>
    <xf numFmtId="0" fontId="191" fillId="25" borderId="3" xfId="0" applyFont="1" applyFill="1" applyBorder="1" applyAlignment="1">
      <alignment horizontal="center" vertical="center"/>
    </xf>
    <xf numFmtId="0" fontId="191" fillId="25" borderId="44" xfId="0" applyFont="1" applyFill="1" applyBorder="1" applyAlignment="1">
      <alignment horizontal="center" vertical="center"/>
    </xf>
    <xf numFmtId="0" fontId="191" fillId="25" borderId="52" xfId="0" applyFont="1" applyFill="1" applyBorder="1" applyAlignment="1">
      <alignment horizontal="center" vertical="center"/>
    </xf>
    <xf numFmtId="0" fontId="191" fillId="25" borderId="45" xfId="0" applyFont="1" applyFill="1" applyBorder="1" applyAlignment="1">
      <alignment horizontal="center" vertical="center"/>
    </xf>
    <xf numFmtId="0" fontId="45" fillId="2" borderId="19" xfId="0" applyFont="1" applyFill="1" applyBorder="1" applyAlignment="1">
      <alignment horizontal="left"/>
    </xf>
    <xf numFmtId="0" fontId="45" fillId="2" borderId="16" xfId="0" applyFont="1" applyFill="1" applyBorder="1" applyAlignment="1">
      <alignment horizontal="left"/>
    </xf>
    <xf numFmtId="0" fontId="45" fillId="2" borderId="20" xfId="0" applyFont="1" applyFill="1" applyBorder="1" applyAlignment="1">
      <alignment horizontal="left"/>
    </xf>
    <xf numFmtId="0" fontId="45" fillId="2" borderId="2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3" xfId="0" applyFont="1" applyFill="1" applyBorder="1" applyAlignment="1">
      <alignment horizontal="left"/>
    </xf>
    <xf numFmtId="0" fontId="45" fillId="2" borderId="67" xfId="0" applyFont="1" applyFill="1" applyBorder="1" applyAlignment="1">
      <alignment horizontal="left"/>
    </xf>
    <xf numFmtId="0" fontId="193" fillId="7" borderId="74" xfId="0" applyFont="1" applyFill="1" applyBorder="1" applyAlignment="1">
      <alignment horizontal="center" vertical="center"/>
    </xf>
    <xf numFmtId="0" fontId="193" fillId="7" borderId="75" xfId="0" applyFont="1" applyFill="1" applyBorder="1" applyAlignment="1">
      <alignment horizontal="center" vertical="center"/>
    </xf>
    <xf numFmtId="164" fontId="193" fillId="7" borderId="49" xfId="0" applyNumberFormat="1" applyFont="1" applyFill="1" applyBorder="1" applyAlignment="1">
      <alignment horizontal="right" vertical="center"/>
    </xf>
    <xf numFmtId="164" fontId="193" fillId="7" borderId="51" xfId="0" applyNumberFormat="1" applyFont="1" applyFill="1" applyBorder="1" applyAlignment="1">
      <alignment horizontal="right" vertical="center"/>
    </xf>
    <xf numFmtId="0" fontId="45" fillId="2" borderId="14" xfId="0" applyFont="1" applyFill="1" applyBorder="1" applyAlignment="1">
      <alignment horizontal="left"/>
    </xf>
    <xf numFmtId="0" fontId="45" fillId="2" borderId="4" xfId="0" applyFont="1" applyFill="1" applyBorder="1" applyAlignment="1">
      <alignment horizontal="left"/>
    </xf>
    <xf numFmtId="164" fontId="171" fillId="3" borderId="71" xfId="0" applyNumberFormat="1" applyFont="1" applyFill="1" applyBorder="1" applyAlignment="1">
      <alignment horizontal="right" vertical="center"/>
    </xf>
    <xf numFmtId="0" fontId="171" fillId="3" borderId="72" xfId="0" applyFont="1" applyFill="1" applyBorder="1" applyAlignment="1">
      <alignment horizontal="right" vertical="center"/>
    </xf>
    <xf numFmtId="164" fontId="45" fillId="2" borderId="0" xfId="0" applyNumberFormat="1" applyFont="1" applyFill="1" applyAlignment="1">
      <alignment horizontal="right" vertical="center"/>
    </xf>
    <xf numFmtId="164" fontId="171" fillId="2" borderId="3" xfId="0" applyNumberFormat="1" applyFont="1" applyFill="1" applyBorder="1" applyAlignment="1">
      <alignment horizontal="right" vertical="center"/>
    </xf>
    <xf numFmtId="0" fontId="82" fillId="21" borderId="103" xfId="0" applyFont="1" applyFill="1" applyBorder="1" applyAlignment="1">
      <alignment horizontal="center" vertical="center"/>
    </xf>
    <xf numFmtId="0" fontId="82" fillId="21" borderId="99" xfId="0" applyFont="1" applyFill="1" applyBorder="1" applyAlignment="1">
      <alignment horizontal="center" vertical="center"/>
    </xf>
    <xf numFmtId="0" fontId="82" fillId="21" borderId="104" xfId="0" applyFont="1" applyFill="1" applyBorder="1" applyAlignment="1">
      <alignment horizontal="center" vertical="center"/>
    </xf>
    <xf numFmtId="164" fontId="45" fillId="2" borderId="5" xfId="0" applyNumberFormat="1" applyFont="1" applyFill="1" applyBorder="1" applyAlignment="1">
      <alignment horizontal="right" vertical="center"/>
    </xf>
    <xf numFmtId="164" fontId="45" fillId="2" borderId="7" xfId="0" applyNumberFormat="1" applyFont="1" applyFill="1" applyBorder="1" applyAlignment="1">
      <alignment horizontal="right" vertical="center"/>
    </xf>
    <xf numFmtId="0" fontId="182" fillId="6" borderId="32" xfId="5" applyFont="1" applyFill="1" applyBorder="1" applyAlignment="1">
      <alignment horizontal="right" vertical="center"/>
    </xf>
    <xf numFmtId="0" fontId="182" fillId="6" borderId="21" xfId="5" applyFont="1" applyFill="1" applyBorder="1" applyAlignment="1">
      <alignment horizontal="right" vertical="center"/>
    </xf>
    <xf numFmtId="0" fontId="182" fillId="6" borderId="33" xfId="5" applyFont="1" applyFill="1" applyBorder="1" applyAlignment="1">
      <alignment horizontal="right" vertical="center"/>
    </xf>
    <xf numFmtId="0" fontId="191" fillId="20" borderId="46" xfId="0" applyFont="1" applyFill="1" applyBorder="1" applyAlignment="1">
      <alignment horizontal="center" vertical="center"/>
    </xf>
    <xf numFmtId="0" fontId="191" fillId="20" borderId="50" xfId="0" applyFont="1" applyFill="1" applyBorder="1" applyAlignment="1">
      <alignment horizontal="center" vertical="center"/>
    </xf>
    <xf numFmtId="0" fontId="191" fillId="20" borderId="47" xfId="0" applyFont="1" applyFill="1" applyBorder="1" applyAlignment="1">
      <alignment horizontal="center" vertical="center"/>
    </xf>
    <xf numFmtId="0" fontId="191" fillId="20" borderId="2" xfId="0" applyFont="1" applyFill="1" applyBorder="1" applyAlignment="1">
      <alignment horizontal="center" vertical="center"/>
    </xf>
    <xf numFmtId="0" fontId="191" fillId="20" borderId="0" xfId="0" applyFont="1" applyFill="1" applyAlignment="1">
      <alignment horizontal="center" vertical="center"/>
    </xf>
    <xf numFmtId="0" fontId="191" fillId="20" borderId="3" xfId="0" applyFont="1" applyFill="1" applyBorder="1" applyAlignment="1">
      <alignment horizontal="center" vertical="center"/>
    </xf>
    <xf numFmtId="0" fontId="191" fillId="20" borderId="44" xfId="0" applyFont="1" applyFill="1" applyBorder="1" applyAlignment="1">
      <alignment horizontal="center" vertical="center"/>
    </xf>
    <xf numFmtId="0" fontId="191" fillId="20" borderId="52" xfId="0" applyFont="1" applyFill="1" applyBorder="1" applyAlignment="1">
      <alignment horizontal="center" vertical="center"/>
    </xf>
    <xf numFmtId="0" fontId="191" fillId="20" borderId="45" xfId="0" applyFont="1" applyFill="1" applyBorder="1" applyAlignment="1">
      <alignment horizontal="center" vertical="center"/>
    </xf>
    <xf numFmtId="0" fontId="191" fillId="29" borderId="46" xfId="0" applyFont="1" applyFill="1" applyBorder="1" applyAlignment="1">
      <alignment horizontal="center" vertical="center"/>
    </xf>
    <xf numFmtId="0" fontId="191" fillId="29" borderId="50" xfId="0" applyFont="1" applyFill="1" applyBorder="1" applyAlignment="1">
      <alignment horizontal="center" vertical="center"/>
    </xf>
    <xf numFmtId="0" fontId="191" fillId="29" borderId="47" xfId="0" applyFont="1" applyFill="1" applyBorder="1" applyAlignment="1">
      <alignment horizontal="center" vertical="center"/>
    </xf>
    <xf numFmtId="0" fontId="191" fillId="29" borderId="2" xfId="0" applyFont="1" applyFill="1" applyBorder="1" applyAlignment="1">
      <alignment horizontal="center" vertical="center"/>
    </xf>
    <xf numFmtId="0" fontId="191" fillId="29" borderId="0" xfId="0" applyFont="1" applyFill="1" applyAlignment="1">
      <alignment horizontal="center" vertical="center"/>
    </xf>
    <xf numFmtId="0" fontId="191" fillId="29" borderId="3" xfId="0" applyFont="1" applyFill="1" applyBorder="1" applyAlignment="1">
      <alignment horizontal="center" vertical="center"/>
    </xf>
    <xf numFmtId="0" fontId="191" fillId="29" borderId="44" xfId="0" applyFont="1" applyFill="1" applyBorder="1" applyAlignment="1">
      <alignment horizontal="center" vertical="center"/>
    </xf>
    <xf numFmtId="0" fontId="191" fillId="29" borderId="52" xfId="0" applyFont="1" applyFill="1" applyBorder="1" applyAlignment="1">
      <alignment horizontal="center" vertical="center"/>
    </xf>
    <xf numFmtId="0" fontId="191" fillId="29" borderId="45" xfId="0" applyFont="1" applyFill="1" applyBorder="1" applyAlignment="1">
      <alignment horizontal="center" vertical="center"/>
    </xf>
    <xf numFmtId="164" fontId="142" fillId="6" borderId="60" xfId="0" applyNumberFormat="1" applyFont="1" applyFill="1" applyBorder="1" applyAlignment="1">
      <alignment horizontal="right" vertical="center"/>
    </xf>
    <xf numFmtId="164" fontId="142" fillId="6" borderId="63" xfId="0" applyNumberFormat="1" applyFont="1" applyFill="1" applyBorder="1" applyAlignment="1">
      <alignment horizontal="right" vertical="center"/>
    </xf>
    <xf numFmtId="164" fontId="142" fillId="6" borderId="62" xfId="0" applyNumberFormat="1" applyFont="1" applyFill="1" applyBorder="1" applyAlignment="1">
      <alignment horizontal="right" vertical="center"/>
    </xf>
    <xf numFmtId="164" fontId="142" fillId="6" borderId="2" xfId="0" applyNumberFormat="1" applyFont="1" applyFill="1" applyBorder="1" applyAlignment="1">
      <alignment horizontal="right" vertical="center"/>
    </xf>
    <xf numFmtId="164" fontId="142" fillId="6" borderId="0" xfId="0" applyNumberFormat="1" applyFont="1" applyFill="1" applyAlignment="1">
      <alignment horizontal="right" vertical="center"/>
    </xf>
    <xf numFmtId="164" fontId="142" fillId="6" borderId="3" xfId="0" applyNumberFormat="1" applyFont="1" applyFill="1" applyBorder="1" applyAlignment="1">
      <alignment horizontal="right" vertical="center"/>
    </xf>
    <xf numFmtId="164" fontId="142" fillId="6" borderId="30" xfId="0" applyNumberFormat="1" applyFont="1" applyFill="1" applyBorder="1" applyAlignment="1">
      <alignment horizontal="right" vertical="center"/>
    </xf>
    <xf numFmtId="164" fontId="142" fillId="6" borderId="35" xfId="0" applyNumberFormat="1" applyFont="1" applyFill="1" applyBorder="1" applyAlignment="1">
      <alignment horizontal="right" vertical="center"/>
    </xf>
    <xf numFmtId="164" fontId="142" fillId="6" borderId="31" xfId="0" applyNumberFormat="1" applyFont="1" applyFill="1" applyBorder="1" applyAlignment="1">
      <alignment horizontal="right" vertical="center"/>
    </xf>
    <xf numFmtId="164" fontId="142" fillId="6" borderId="32" xfId="0" applyNumberFormat="1" applyFont="1" applyFill="1" applyBorder="1" applyAlignment="1">
      <alignment horizontal="right" vertical="center"/>
    </xf>
    <xf numFmtId="164" fontId="142" fillId="6" borderId="21" xfId="0" applyNumberFormat="1" applyFont="1" applyFill="1" applyBorder="1" applyAlignment="1">
      <alignment horizontal="right" vertical="center"/>
    </xf>
    <xf numFmtId="164" fontId="142" fillId="6" borderId="33" xfId="0" applyNumberFormat="1" applyFont="1" applyFill="1" applyBorder="1" applyAlignment="1">
      <alignment horizontal="right" vertical="center"/>
    </xf>
    <xf numFmtId="164" fontId="189" fillId="2" borderId="117" xfId="5" applyNumberFormat="1" applyFont="1" applyFill="1" applyBorder="1" applyAlignment="1">
      <alignment horizontal="center"/>
    </xf>
    <xf numFmtId="0" fontId="168" fillId="22" borderId="119" xfId="0" applyFont="1" applyFill="1" applyBorder="1" applyAlignment="1">
      <alignment horizontal="center" vertical="center"/>
    </xf>
    <xf numFmtId="0" fontId="168" fillId="22" borderId="117" xfId="0" applyFont="1" applyFill="1" applyBorder="1" applyAlignment="1">
      <alignment horizontal="center" vertical="center"/>
    </xf>
    <xf numFmtId="0" fontId="168" fillId="22" borderId="118" xfId="0" applyFont="1" applyFill="1" applyBorder="1" applyAlignment="1">
      <alignment horizontal="center" vertical="center"/>
    </xf>
    <xf numFmtId="0" fontId="168" fillId="8" borderId="119" xfId="0" applyFont="1" applyFill="1" applyBorder="1" applyAlignment="1">
      <alignment horizontal="center" vertical="center"/>
    </xf>
    <xf numFmtId="0" fontId="168" fillId="8" borderId="117" xfId="0" applyFont="1" applyFill="1" applyBorder="1" applyAlignment="1">
      <alignment horizontal="center" vertical="center"/>
    </xf>
    <xf numFmtId="0" fontId="168" fillId="8" borderId="118" xfId="0" applyFont="1" applyFill="1" applyBorder="1" applyAlignment="1">
      <alignment horizontal="center" vertical="center"/>
    </xf>
    <xf numFmtId="0" fontId="184" fillId="15" borderId="2" xfId="0" applyFont="1" applyFill="1" applyBorder="1" applyAlignment="1">
      <alignment horizontal="center" vertical="center"/>
    </xf>
    <xf numFmtId="0" fontId="184" fillId="15" borderId="0" xfId="0" applyFont="1" applyFill="1" applyAlignment="1">
      <alignment horizontal="center" vertical="center"/>
    </xf>
    <xf numFmtId="0" fontId="184" fillId="15" borderId="3" xfId="0" applyFont="1" applyFill="1" applyBorder="1" applyAlignment="1">
      <alignment horizontal="center" vertical="center"/>
    </xf>
    <xf numFmtId="0" fontId="184" fillId="15" borderId="14" xfId="0" applyFont="1" applyFill="1" applyBorder="1" applyAlignment="1">
      <alignment horizontal="center" vertical="center"/>
    </xf>
    <xf numFmtId="0" fontId="184" fillId="15" borderId="105" xfId="0" applyFont="1" applyFill="1" applyBorder="1" applyAlignment="1">
      <alignment horizontal="center" vertical="center"/>
    </xf>
    <xf numFmtId="0" fontId="184" fillId="15" borderId="15" xfId="0" applyFont="1" applyFill="1" applyBorder="1" applyAlignment="1">
      <alignment horizontal="center" vertical="center"/>
    </xf>
    <xf numFmtId="0" fontId="182" fillId="6" borderId="44" xfId="5" applyFont="1" applyFill="1" applyBorder="1" applyAlignment="1">
      <alignment horizontal="right" vertical="center"/>
    </xf>
    <xf numFmtId="0" fontId="182" fillId="6" borderId="52" xfId="5" applyFont="1" applyFill="1" applyBorder="1" applyAlignment="1">
      <alignment horizontal="right" vertical="center"/>
    </xf>
    <xf numFmtId="0" fontId="182" fillId="6" borderId="45" xfId="5" applyFont="1" applyFill="1" applyBorder="1" applyAlignment="1">
      <alignment horizontal="right" vertical="center"/>
    </xf>
    <xf numFmtId="0" fontId="142" fillId="6" borderId="42" xfId="0" applyFont="1" applyFill="1" applyBorder="1" applyAlignment="1">
      <alignment horizontal="right" vertical="center"/>
    </xf>
    <xf numFmtId="0" fontId="142" fillId="6" borderId="56" xfId="0" applyFont="1" applyFill="1" applyBorder="1" applyAlignment="1">
      <alignment horizontal="right" vertical="center"/>
    </xf>
    <xf numFmtId="0" fontId="142" fillId="6" borderId="43" xfId="0" applyFont="1" applyFill="1" applyBorder="1" applyAlignment="1">
      <alignment horizontal="right" vertical="center"/>
    </xf>
    <xf numFmtId="0" fontId="183" fillId="28" borderId="46" xfId="0" applyFont="1" applyFill="1" applyBorder="1" applyAlignment="1">
      <alignment horizontal="center" vertical="center"/>
    </xf>
    <xf numFmtId="0" fontId="183" fillId="28" borderId="50" xfId="0" applyFont="1" applyFill="1" applyBorder="1" applyAlignment="1">
      <alignment horizontal="center" vertical="center"/>
    </xf>
    <xf numFmtId="0" fontId="183" fillId="28" borderId="47" xfId="0" applyFont="1" applyFill="1" applyBorder="1" applyAlignment="1">
      <alignment horizontal="center" vertical="center"/>
    </xf>
    <xf numFmtId="0" fontId="183" fillId="28" borderId="2" xfId="0" applyFont="1" applyFill="1" applyBorder="1" applyAlignment="1">
      <alignment horizontal="center" vertical="center"/>
    </xf>
    <xf numFmtId="0" fontId="183" fillId="28" borderId="0" xfId="0" applyFont="1" applyFill="1" applyAlignment="1">
      <alignment horizontal="center" vertical="center"/>
    </xf>
    <xf numFmtId="0" fontId="183" fillId="28" borderId="3" xfId="0" applyFont="1" applyFill="1" applyBorder="1" applyAlignment="1">
      <alignment horizontal="center" vertical="center"/>
    </xf>
    <xf numFmtId="0" fontId="183" fillId="28" borderId="14" xfId="0" applyFont="1" applyFill="1" applyBorder="1" applyAlignment="1">
      <alignment horizontal="center" vertical="center"/>
    </xf>
    <xf numFmtId="0" fontId="183" fillId="28" borderId="105" xfId="0" applyFont="1" applyFill="1" applyBorder="1" applyAlignment="1">
      <alignment horizontal="center" vertical="center"/>
    </xf>
    <xf numFmtId="0" fontId="183" fillId="28" borderId="15" xfId="0" applyFont="1" applyFill="1" applyBorder="1" applyAlignment="1">
      <alignment horizontal="center" vertical="center"/>
    </xf>
    <xf numFmtId="164" fontId="45" fillId="2" borderId="16" xfId="0" applyNumberFormat="1" applyFont="1" applyFill="1" applyBorder="1" applyAlignment="1">
      <alignment horizontal="right" vertical="center"/>
    </xf>
    <xf numFmtId="164" fontId="45" fillId="2" borderId="52" xfId="0" applyNumberFormat="1" applyFont="1" applyFill="1" applyBorder="1" applyAlignment="1">
      <alignment horizontal="right" vertical="center"/>
    </xf>
    <xf numFmtId="0" fontId="189" fillId="2" borderId="56" xfId="5" applyFont="1" applyFill="1" applyBorder="1" applyAlignment="1">
      <alignment horizontal="right" vertical="center"/>
    </xf>
    <xf numFmtId="0" fontId="189" fillId="2" borderId="43" xfId="5" applyFont="1" applyFill="1" applyBorder="1" applyAlignment="1">
      <alignment horizontal="right" vertical="center"/>
    </xf>
    <xf numFmtId="164" fontId="45" fillId="2" borderId="32" xfId="0" applyNumberFormat="1" applyFont="1" applyFill="1" applyBorder="1" applyAlignment="1">
      <alignment horizontal="right" vertical="center"/>
    </xf>
    <xf numFmtId="164" fontId="45" fillId="2" borderId="33" xfId="0" applyNumberFormat="1" applyFont="1" applyFill="1" applyBorder="1" applyAlignment="1">
      <alignment horizontal="right" vertical="center"/>
    </xf>
    <xf numFmtId="0" fontId="201" fillId="2" borderId="0" xfId="0" applyFont="1" applyFill="1" applyAlignment="1">
      <alignment horizontal="center" vertical="center"/>
    </xf>
    <xf numFmtId="0" fontId="22" fillId="6" borderId="25" xfId="0" applyFont="1" applyFill="1" applyBorder="1" applyAlignment="1">
      <alignment horizontal="left" vertical="center"/>
    </xf>
    <xf numFmtId="0" fontId="22" fillId="6" borderId="26" xfId="0" applyFont="1" applyFill="1" applyBorder="1" applyAlignment="1">
      <alignment horizontal="left" vertical="center"/>
    </xf>
    <xf numFmtId="0" fontId="22" fillId="6" borderId="27" xfId="0" applyFont="1" applyFill="1" applyBorder="1" applyAlignment="1">
      <alignment horizontal="left" vertical="center"/>
    </xf>
    <xf numFmtId="0" fontId="22" fillId="6" borderId="19" xfId="0" applyFont="1" applyFill="1" applyBorder="1" applyAlignment="1">
      <alignment horizontal="left" vertical="center"/>
    </xf>
    <xf numFmtId="0" fontId="22" fillId="6" borderId="16" xfId="0" applyFont="1" applyFill="1" applyBorder="1" applyAlignment="1">
      <alignment horizontal="left" vertical="center"/>
    </xf>
    <xf numFmtId="0" fontId="22" fillId="6" borderId="20" xfId="0" applyFont="1" applyFill="1" applyBorder="1" applyAlignment="1">
      <alignment horizontal="left" vertical="center"/>
    </xf>
    <xf numFmtId="0" fontId="28" fillId="2" borderId="0" xfId="0" applyFont="1" applyFill="1" applyAlignment="1">
      <alignment horizontal="center"/>
    </xf>
    <xf numFmtId="0" fontId="225" fillId="2" borderId="0" xfId="0" applyFont="1" applyFill="1" applyAlignment="1">
      <alignment horizontal="center"/>
    </xf>
    <xf numFmtId="0" fontId="22" fillId="6" borderId="32" xfId="0" applyFont="1" applyFill="1" applyBorder="1" applyAlignment="1">
      <alignment horizontal="left" vertical="center"/>
    </xf>
    <xf numFmtId="0" fontId="22" fillId="6" borderId="21" xfId="0" applyFont="1" applyFill="1" applyBorder="1" applyAlignment="1">
      <alignment horizontal="left" vertical="center"/>
    </xf>
    <xf numFmtId="0" fontId="22" fillId="6" borderId="33" xfId="0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3" xfId="0" applyFont="1" applyFill="1" applyBorder="1" applyAlignment="1">
      <alignment horizontal="left" vertical="center"/>
    </xf>
    <xf numFmtId="0" fontId="22" fillId="6" borderId="22" xfId="0" applyFont="1" applyFill="1" applyBorder="1" applyAlignment="1">
      <alignment horizontal="left" vertical="center"/>
    </xf>
    <xf numFmtId="0" fontId="22" fillId="6" borderId="23" xfId="0" applyFont="1" applyFill="1" applyBorder="1" applyAlignment="1">
      <alignment horizontal="left" vertical="center"/>
    </xf>
    <xf numFmtId="0" fontId="22" fillId="6" borderId="24" xfId="0" applyFont="1" applyFill="1" applyBorder="1" applyAlignment="1">
      <alignment horizontal="left" vertical="center"/>
    </xf>
    <xf numFmtId="0" fontId="33" fillId="7" borderId="79" xfId="0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0" fillId="7" borderId="80" xfId="0" applyFill="1" applyBorder="1" applyAlignment="1">
      <alignment vertical="center"/>
    </xf>
    <xf numFmtId="164" fontId="28" fillId="2" borderId="76" xfId="0" applyNumberFormat="1" applyFont="1" applyFill="1" applyBorder="1" applyAlignment="1">
      <alignment horizontal="right" vertical="center"/>
    </xf>
    <xf numFmtId="164" fontId="28" fillId="2" borderId="77" xfId="0" applyNumberFormat="1" applyFont="1" applyFill="1" applyBorder="1" applyAlignment="1">
      <alignment horizontal="right" vertical="center"/>
    </xf>
    <xf numFmtId="164" fontId="28" fillId="2" borderId="78" xfId="0" applyNumberFormat="1" applyFont="1" applyFill="1" applyBorder="1" applyAlignment="1">
      <alignment horizontal="right" vertical="center"/>
    </xf>
    <xf numFmtId="0" fontId="205" fillId="3" borderId="5" xfId="0" applyFont="1" applyFill="1" applyBorder="1" applyAlignment="1">
      <alignment horizontal="center" vertical="center"/>
    </xf>
    <xf numFmtId="0" fontId="205" fillId="3" borderId="6" xfId="0" applyFont="1" applyFill="1" applyBorder="1" applyAlignment="1">
      <alignment horizontal="center" vertical="center"/>
    </xf>
    <xf numFmtId="0" fontId="205" fillId="3" borderId="7" xfId="0" applyFont="1" applyFill="1" applyBorder="1" applyAlignment="1">
      <alignment horizontal="center" vertical="center"/>
    </xf>
    <xf numFmtId="164" fontId="22" fillId="2" borderId="125" xfId="0" applyNumberFormat="1" applyFont="1" applyFill="1" applyBorder="1" applyAlignment="1">
      <alignment horizontal="right" vertical="center"/>
    </xf>
    <xf numFmtId="164" fontId="22" fillId="2" borderId="1" xfId="0" applyNumberFormat="1" applyFont="1" applyFill="1" applyBorder="1" applyAlignment="1">
      <alignment horizontal="right" vertical="center"/>
    </xf>
    <xf numFmtId="164" fontId="22" fillId="2" borderId="116" xfId="0" applyNumberFormat="1" applyFont="1" applyFill="1" applyBorder="1" applyAlignment="1">
      <alignment horizontal="right" vertical="center"/>
    </xf>
    <xf numFmtId="164" fontId="22" fillId="2" borderId="2" xfId="0" applyNumberFormat="1" applyFont="1" applyFill="1" applyBorder="1" applyAlignment="1">
      <alignment horizontal="right" vertical="center"/>
    </xf>
    <xf numFmtId="164" fontId="22" fillId="2" borderId="0" xfId="0" applyNumberFormat="1" applyFont="1" applyFill="1" applyAlignment="1">
      <alignment horizontal="right" vertical="center"/>
    </xf>
    <xf numFmtId="164" fontId="22" fillId="2" borderId="3" xfId="0" applyNumberFormat="1" applyFont="1" applyFill="1" applyBorder="1" applyAlignment="1">
      <alignment horizontal="right" vertical="center"/>
    </xf>
    <xf numFmtId="164" fontId="22" fillId="2" borderId="19" xfId="0" applyNumberFormat="1" applyFont="1" applyFill="1" applyBorder="1" applyAlignment="1">
      <alignment horizontal="right" vertical="center"/>
    </xf>
    <xf numFmtId="164" fontId="22" fillId="2" borderId="16" xfId="0" applyNumberFormat="1" applyFont="1" applyFill="1" applyBorder="1" applyAlignment="1">
      <alignment horizontal="right" vertical="center"/>
    </xf>
    <xf numFmtId="164" fontId="22" fillId="2" borderId="20" xfId="0" applyNumberFormat="1" applyFont="1" applyFill="1" applyBorder="1" applyAlignment="1">
      <alignment horizontal="right" vertical="center"/>
    </xf>
    <xf numFmtId="164" fontId="138" fillId="2" borderId="2" xfId="0" applyNumberFormat="1" applyFont="1" applyFill="1" applyBorder="1" applyAlignment="1">
      <alignment horizontal="center" vertical="center"/>
    </xf>
    <xf numFmtId="164" fontId="138" fillId="2" borderId="0" xfId="0" applyNumberFormat="1" applyFont="1" applyFill="1" applyAlignment="1">
      <alignment horizontal="center" vertical="center"/>
    </xf>
    <xf numFmtId="0" fontId="208" fillId="2" borderId="0" xfId="0" applyFont="1" applyFill="1" applyAlignment="1">
      <alignment horizontal="center" vertical="center"/>
    </xf>
    <xf numFmtId="0" fontId="208" fillId="30" borderId="103" xfId="0" applyFont="1" applyFill="1" applyBorder="1" applyAlignment="1">
      <alignment horizontal="center" vertical="center"/>
    </xf>
    <xf numFmtId="0" fontId="208" fillId="30" borderId="99" xfId="0" applyFont="1" applyFill="1" applyBorder="1" applyAlignment="1">
      <alignment horizontal="center" vertical="center"/>
    </xf>
    <xf numFmtId="0" fontId="208" fillId="30" borderId="10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164" fontId="22" fillId="2" borderId="22" xfId="0" applyNumberFormat="1" applyFont="1" applyFill="1" applyBorder="1" applyAlignment="1">
      <alignment horizontal="right" vertical="center"/>
    </xf>
    <xf numFmtId="164" fontId="22" fillId="2" borderId="23" xfId="0" applyNumberFormat="1" applyFont="1" applyFill="1" applyBorder="1" applyAlignment="1">
      <alignment horizontal="right" vertical="center"/>
    </xf>
    <xf numFmtId="164" fontId="22" fillId="2" borderId="24" xfId="0" applyNumberFormat="1" applyFont="1" applyFill="1" applyBorder="1" applyAlignment="1">
      <alignment horizontal="right" vertical="center"/>
    </xf>
    <xf numFmtId="0" fontId="28" fillId="2" borderId="3" xfId="0" applyFont="1" applyFill="1" applyBorder="1" applyAlignment="1">
      <alignment horizontal="right" vertical="center"/>
    </xf>
    <xf numFmtId="164" fontId="226" fillId="2" borderId="19" xfId="0" applyNumberFormat="1" applyFont="1" applyFill="1" applyBorder="1" applyAlignment="1">
      <alignment horizontal="center" vertical="center"/>
    </xf>
    <xf numFmtId="164" fontId="226" fillId="2" borderId="16" xfId="0" applyNumberFormat="1" applyFont="1" applyFill="1" applyBorder="1" applyAlignment="1">
      <alignment horizontal="center" vertical="center"/>
    </xf>
    <xf numFmtId="164" fontId="226" fillId="2" borderId="20" xfId="0" applyNumberFormat="1" applyFont="1" applyFill="1" applyBorder="1" applyAlignment="1">
      <alignment horizontal="center" vertical="center"/>
    </xf>
    <xf numFmtId="0" fontId="247" fillId="0" borderId="55" xfId="0" applyFont="1" applyBorder="1" applyAlignment="1">
      <alignment horizontal="center"/>
    </xf>
    <xf numFmtId="0" fontId="247" fillId="0" borderId="56" xfId="0" applyFont="1" applyBorder="1" applyAlignment="1">
      <alignment horizontal="center"/>
    </xf>
    <xf numFmtId="0" fontId="247" fillId="0" borderId="57" xfId="0" applyFont="1" applyBorder="1" applyAlignment="1">
      <alignment horizontal="center"/>
    </xf>
  </cellXfs>
  <cellStyles count="12">
    <cellStyle name="Hyperlink" xfId="1" builtinId="8"/>
    <cellStyle name="Standaard" xfId="0" builtinId="0"/>
    <cellStyle name="Standaard 2" xfId="2" xr:uid="{00000000-0005-0000-0000-000002000000}"/>
    <cellStyle name="Standaard 2 2" xfId="8" xr:uid="{00000000-0005-0000-0000-000003000000}"/>
    <cellStyle name="Standaard 3" xfId="3" xr:uid="{00000000-0005-0000-0000-000004000000}"/>
    <cellStyle name="Standaard 3 2" xfId="4" xr:uid="{00000000-0005-0000-0000-000005000000}"/>
    <cellStyle name="Standaard 3 2 2" xfId="7" xr:uid="{00000000-0005-0000-0000-000006000000}"/>
    <cellStyle name="Standaard 3 3" xfId="6" xr:uid="{00000000-0005-0000-0000-000007000000}"/>
    <cellStyle name="Standaard 3 4" xfId="11" xr:uid="{00000000-0005-0000-0000-000008000000}"/>
    <cellStyle name="Standaard 4" xfId="5" xr:uid="{00000000-0005-0000-0000-000009000000}"/>
    <cellStyle name="Standaard 5" xfId="9" xr:uid="{00000000-0005-0000-0000-00000A000000}"/>
    <cellStyle name="Standaard 6" xfId="10" xr:uid="{00000000-0005-0000-0000-00000B000000}"/>
  </cellStyles>
  <dxfs count="343">
    <dxf>
      <font>
        <b/>
        <i/>
      </font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b/>
        <i/>
        <color rgb="FF007635"/>
      </font>
      <fill>
        <patternFill>
          <bgColor theme="6" tint="0.79998168889431442"/>
        </patternFill>
      </fill>
    </dxf>
    <dxf>
      <font>
        <b/>
        <i val="0"/>
        <color rgb="FF007635"/>
      </font>
      <fill>
        <patternFill>
          <bgColor theme="6" tint="0.79998168889431442"/>
        </patternFill>
      </fill>
    </dxf>
    <dxf>
      <font>
        <b/>
        <i/>
        <color rgb="FF002060"/>
      </font>
      <fill>
        <patternFill>
          <bgColor theme="3" tint="0.79998168889431442"/>
        </patternFill>
      </fill>
    </dxf>
    <dxf>
      <font>
        <b/>
        <i val="0"/>
        <color rgb="FF002060"/>
      </font>
      <fill>
        <patternFill>
          <bgColor theme="3" tint="0.79998168889431442"/>
        </patternFill>
      </fill>
    </dxf>
    <dxf>
      <font>
        <b/>
        <i val="0"/>
        <color rgb="FFFF0000"/>
      </font>
      <fill>
        <patternFill>
          <bgColor theme="9" tint="0.79998168889431442"/>
        </patternFill>
      </fill>
    </dxf>
    <dxf>
      <font>
        <b/>
        <i/>
        <color rgb="FFFF0000"/>
      </font>
      <fill>
        <patternFill>
          <bgColor theme="9" tint="0.79998168889431442"/>
        </patternFill>
      </fill>
    </dxf>
    <dxf>
      <font>
        <b/>
        <i/>
        <color rgb="FF007635"/>
      </font>
      <fill>
        <patternFill>
          <bgColor theme="6" tint="0.79998168889431442"/>
        </patternFill>
      </fill>
    </dxf>
    <dxf>
      <font>
        <b/>
        <i/>
        <color rgb="FF002060"/>
      </font>
      <fill>
        <patternFill>
          <bgColor theme="3" tint="0.79998168889431442"/>
        </patternFill>
      </fill>
    </dxf>
    <dxf>
      <font>
        <b/>
        <i val="0"/>
        <strike val="0"/>
        <color rgb="FFFF0000"/>
      </font>
      <fill>
        <patternFill>
          <bgColor theme="9" tint="0.79998168889431442"/>
        </patternFill>
      </fill>
    </dxf>
    <dxf>
      <font>
        <b/>
        <i/>
        <color rgb="FFFF0000"/>
      </font>
      <fill>
        <patternFill>
          <bgColor theme="9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/>
        <strike val="0"/>
        <color theme="0"/>
      </font>
      <fill>
        <patternFill>
          <bgColor rgb="FFFF000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7" tint="0.59996337778862885"/>
      </font>
      <fill>
        <patternFill>
          <bgColor theme="7" tint="0.59996337778862885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[$-F800]dddd\,\ mmmm\ dd\,\ 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rgb="FFFFFF00"/>
        </patternFill>
      </fill>
    </dxf>
    <dxf>
      <font>
        <color rgb="FFFFFF00"/>
      </font>
      <fill>
        <patternFill>
          <bgColor rgb="FF00206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b val="0"/>
        <i val="0"/>
        <color rgb="FF002060"/>
      </font>
      <fill>
        <patternFill patternType="solid"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b val="0"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color rgb="FFFFFF00"/>
      </font>
      <fill>
        <patternFill>
          <bgColor rgb="FF002060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rgb="FFFFFF00"/>
        </patternFill>
      </fill>
    </dxf>
    <dxf>
      <font>
        <color rgb="FFFFFF00"/>
      </font>
      <fill>
        <patternFill>
          <bgColor rgb="FF00206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b val="0"/>
        <i val="0"/>
        <color rgb="FF002060"/>
      </font>
      <fill>
        <patternFill patternType="solid"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b val="0"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color rgb="FFFFFF00"/>
      </font>
      <fill>
        <patternFill>
          <bgColor rgb="FF002060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rgb="FFFFFF00"/>
        </patternFill>
      </fill>
    </dxf>
    <dxf>
      <font>
        <color rgb="FFFFFF00"/>
      </font>
      <fill>
        <patternFill>
          <bgColor rgb="FF00206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b val="0"/>
        <i val="0"/>
        <color rgb="FF002060"/>
      </font>
      <fill>
        <patternFill patternType="solid"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b val="0"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color rgb="FFFFFF00"/>
      </font>
      <fill>
        <patternFill>
          <bgColor rgb="FF002060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rgb="FFFFFF00"/>
        </patternFill>
      </fill>
    </dxf>
    <dxf>
      <font>
        <color rgb="FFFFFF00"/>
      </font>
      <fill>
        <patternFill>
          <bgColor rgb="FF00206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b val="0"/>
        <i val="0"/>
        <color rgb="FF002060"/>
      </font>
      <fill>
        <patternFill patternType="solid">
          <bgColor theme="0" tint="-4.9989318521683403E-2"/>
        </patternFill>
      </fill>
    </dxf>
    <dxf>
      <fill>
        <patternFill>
          <bgColor theme="0"/>
        </patternFill>
      </fill>
    </dxf>
    <dxf>
      <font>
        <color theme="0" tint="-0.34998626667073579"/>
      </font>
      <fill>
        <patternFill>
          <bgColor theme="0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/>
        <i val="0"/>
        <color rgb="FF002060"/>
      </font>
      <fill>
        <patternFill>
          <bgColor theme="0" tint="-4.9989318521683403E-2"/>
        </patternFill>
      </fill>
    </dxf>
    <dxf>
      <font>
        <color rgb="FF002060"/>
      </font>
      <fill>
        <patternFill>
          <bgColor theme="0" tint="-4.9989318521683403E-2"/>
        </patternFill>
      </fill>
    </dxf>
    <dxf>
      <font>
        <b val="0"/>
        <i val="0"/>
        <color rgb="FF002060"/>
      </font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rgb="FF002060"/>
      </font>
      <fill>
        <patternFill>
          <bgColor theme="9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FFFF00"/>
      </font>
      <fill>
        <patternFill>
          <bgColor rgb="FF002060"/>
        </patternFill>
      </fill>
    </dxf>
    <dxf>
      <font>
        <b/>
        <i val="0"/>
        <color rgb="FF002060"/>
      </font>
      <fill>
        <patternFill patternType="solid">
          <bgColor theme="0" tint="-4.9989318521683403E-2"/>
        </patternFill>
      </fill>
    </dxf>
    <dxf>
      <font>
        <color rgb="FFFFFF00"/>
      </font>
      <fill>
        <patternFill>
          <bgColor rgb="FF00206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CC"/>
      <color rgb="FFB7FFB7"/>
      <color rgb="FF6DFF6D"/>
      <color rgb="FF00FF00"/>
      <color rgb="FF0F5516"/>
      <color rgb="FFF87477"/>
      <color rgb="FF99CCFF"/>
      <color rgb="FFFFFFF3"/>
      <color rgb="FFFFFFFF"/>
      <color rgb="FFFFE8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STAP 1 - BESTELGEGEVENS'!T3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1.jpeg"/><Relationship Id="rId1" Type="http://schemas.openxmlformats.org/officeDocument/2006/relationships/hyperlink" Target="#'STAP 2 - BESTELKEUZ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BBQ-GOURMET BESTELLING'!A89:A113"/><Relationship Id="rId3" Type="http://schemas.openxmlformats.org/officeDocument/2006/relationships/hyperlink" Target="#CATERINGBESTELLING!A2:A63"/><Relationship Id="rId7" Type="http://schemas.openxmlformats.org/officeDocument/2006/relationships/hyperlink" Target="#CATERINGBESTELLING!A181:A245"/><Relationship Id="rId2" Type="http://schemas.openxmlformats.org/officeDocument/2006/relationships/hyperlink" Target="#'STAP 1 - BESTELGEGEVENS'!T3"/><Relationship Id="rId1" Type="http://schemas.openxmlformats.org/officeDocument/2006/relationships/image" Target="../media/image1.jpeg"/><Relationship Id="rId6" Type="http://schemas.openxmlformats.org/officeDocument/2006/relationships/hyperlink" Target="#CATERINGBESTELLING!A135:A179"/><Relationship Id="rId5" Type="http://schemas.openxmlformats.org/officeDocument/2006/relationships/hyperlink" Target="#CATERINGBESTELLING!A116:A150"/><Relationship Id="rId10" Type="http://schemas.openxmlformats.org/officeDocument/2006/relationships/hyperlink" Target="#CATERINGBESTELLING!A64:A115"/><Relationship Id="rId4" Type="http://schemas.openxmlformats.org/officeDocument/2006/relationships/hyperlink" Target="#'BBQ-GOURMET BESTELLING'!A1"/><Relationship Id="rId9" Type="http://schemas.openxmlformats.org/officeDocument/2006/relationships/hyperlink" Target="#OVERIG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VERSTUREN!A1"/><Relationship Id="rId2" Type="http://schemas.openxmlformats.org/officeDocument/2006/relationships/hyperlink" Target="#'STAP 2 - BESTELKEUZE'!A1"/><Relationship Id="rId1" Type="http://schemas.openxmlformats.org/officeDocument/2006/relationships/hyperlink" Target="#'STAP 1 - BESTELGEGEVENS'!T3"/><Relationship Id="rId5" Type="http://schemas.openxmlformats.org/officeDocument/2006/relationships/hyperlink" Target="#'BBQ-GOURMET BESTELLING'!A1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VERSTUREN!A1"/><Relationship Id="rId2" Type="http://schemas.openxmlformats.org/officeDocument/2006/relationships/hyperlink" Target="#'STAP 2 - BESTELKEUZE'!A1"/><Relationship Id="rId1" Type="http://schemas.openxmlformats.org/officeDocument/2006/relationships/hyperlink" Target="#'STAP 1 - BESTELGEGEVENS'!T3"/><Relationship Id="rId4" Type="http://schemas.openxmlformats.org/officeDocument/2006/relationships/hyperlink" Target="#CATERINGBESTELLING!A64:A118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VERSTUREN!A1"/><Relationship Id="rId2" Type="http://schemas.openxmlformats.org/officeDocument/2006/relationships/hyperlink" Target="#'STAP 1 - BESTELGEGEVENS'!T3"/><Relationship Id="rId1" Type="http://schemas.openxmlformats.org/officeDocument/2006/relationships/image" Target="../media/image1.jpeg"/><Relationship Id="rId4" Type="http://schemas.openxmlformats.org/officeDocument/2006/relationships/hyperlink" Target="#'STAP 2 - BESTELKEUZE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STAP 1 - BESTELGEGEVENS'!T3"/><Relationship Id="rId2" Type="http://schemas.openxmlformats.org/officeDocument/2006/relationships/hyperlink" Target="mailto:info@voltafood.nl?subject=Bestelling" TargetMode="External"/><Relationship Id="rId1" Type="http://schemas.openxmlformats.org/officeDocument/2006/relationships/image" Target="../media/image1.jpeg"/><Relationship Id="rId4" Type="http://schemas.openxmlformats.org/officeDocument/2006/relationships/hyperlink" Target="#'STAP 2 - BESTELKEUZ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NOG EIGEN INVO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11857</xdr:colOff>
      <xdr:row>3</xdr:row>
      <xdr:rowOff>10975</xdr:rowOff>
    </xdr:from>
    <xdr:to>
      <xdr:col>16</xdr:col>
      <xdr:colOff>102965</xdr:colOff>
      <xdr:row>3</xdr:row>
      <xdr:rowOff>1066800</xdr:rowOff>
    </xdr:to>
    <xdr:pic>
      <xdr:nvPicPr>
        <xdr:cNvPr id="2" name="Afbeelding 1" descr="LOGO e-mail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3632" y="639625"/>
          <a:ext cx="2634283" cy="1055825"/>
        </a:xfrm>
        <a:prstGeom prst="rect">
          <a:avLst/>
        </a:prstGeom>
      </xdr:spPr>
    </xdr:pic>
    <xdr:clientData/>
  </xdr:twoCellAnchor>
  <xdr:twoCellAnchor>
    <xdr:from>
      <xdr:col>40</xdr:col>
      <xdr:colOff>114300</xdr:colOff>
      <xdr:row>18</xdr:row>
      <xdr:rowOff>76200</xdr:rowOff>
    </xdr:from>
    <xdr:to>
      <xdr:col>53</xdr:col>
      <xdr:colOff>238124</xdr:colOff>
      <xdr:row>24</xdr:row>
      <xdr:rowOff>200025</xdr:rowOff>
    </xdr:to>
    <xdr:sp macro="" textlink="">
      <xdr:nvSpPr>
        <xdr:cNvPr id="6" name="PIJL-RECHT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372850" y="5715000"/>
          <a:ext cx="3343274" cy="1609725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Klik voor </a:t>
          </a:r>
          <a:r>
            <a:rPr lang="nl-NL" sz="20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1</a:t>
          </a:r>
        </a:p>
        <a:p>
          <a:pPr algn="r"/>
          <a:r>
            <a:rPr lang="nl-NL" sz="1400" b="0" i="1" u="none">
              <a:solidFill>
                <a:schemeClr val="accent5">
                  <a:lumMod val="60000"/>
                  <a:lumOff val="40000"/>
                </a:schemeClr>
              </a:solidFill>
              <a:latin typeface="Arial Black" pitchFamily="34" charset="0"/>
              <a:cs typeface="Arial" pitchFamily="34" charset="0"/>
            </a:rPr>
            <a:t>invullen bestelgegevens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9525</xdr:colOff>
      <xdr:row>22</xdr:row>
      <xdr:rowOff>228600</xdr:rowOff>
    </xdr:from>
    <xdr:to>
      <xdr:col>46</xdr:col>
      <xdr:colOff>66675</xdr:colOff>
      <xdr:row>26</xdr:row>
      <xdr:rowOff>295275</xdr:rowOff>
    </xdr:to>
    <xdr:sp macro="" textlink="">
      <xdr:nvSpPr>
        <xdr:cNvPr id="3" name="PIJL-RECHT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3344525" y="6315075"/>
          <a:ext cx="1428750" cy="1266825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endParaRPr lang="nl-NL" sz="14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123825</xdr:colOff>
      <xdr:row>0</xdr:row>
      <xdr:rowOff>71809</xdr:rowOff>
    </xdr:from>
    <xdr:to>
      <xdr:col>18</xdr:col>
      <xdr:colOff>227837</xdr:colOff>
      <xdr:row>2</xdr:row>
      <xdr:rowOff>5192</xdr:rowOff>
    </xdr:to>
    <xdr:pic>
      <xdr:nvPicPr>
        <xdr:cNvPr id="2" name="Afbeelding 1" descr="LOGO e-mails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8575" y="71809"/>
          <a:ext cx="2828162" cy="1133533"/>
        </a:xfrm>
        <a:prstGeom prst="rect">
          <a:avLst/>
        </a:prstGeom>
      </xdr:spPr>
    </xdr:pic>
    <xdr:clientData/>
  </xdr:twoCellAnchor>
  <xdr:twoCellAnchor>
    <xdr:from>
      <xdr:col>5</xdr:col>
      <xdr:colOff>238124</xdr:colOff>
      <xdr:row>22</xdr:row>
      <xdr:rowOff>238126</xdr:rowOff>
    </xdr:from>
    <xdr:to>
      <xdr:col>18</xdr:col>
      <xdr:colOff>142874</xdr:colOff>
      <xdr:row>27</xdr:row>
      <xdr:rowOff>1</xdr:rowOff>
    </xdr:to>
    <xdr:sp macro="" textlink="">
      <xdr:nvSpPr>
        <xdr:cNvPr id="4" name="PIJL-RECHT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3457574" y="6143626"/>
          <a:ext cx="3124200" cy="1295400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START</a:t>
          </a:r>
          <a:endParaRPr lang="nl-NL" sz="14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30338</xdr:colOff>
      <xdr:row>0</xdr:row>
      <xdr:rowOff>56482</xdr:rowOff>
    </xdr:from>
    <xdr:to>
      <xdr:col>33</xdr:col>
      <xdr:colOff>9526</xdr:colOff>
      <xdr:row>2</xdr:row>
      <xdr:rowOff>361950</xdr:rowOff>
    </xdr:to>
    <xdr:pic>
      <xdr:nvPicPr>
        <xdr:cNvPr id="2" name="Afbeelding 1" descr="LOGO e-mails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88438" y="56482"/>
          <a:ext cx="1712738" cy="686468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28</xdr:row>
      <xdr:rowOff>95251</xdr:rowOff>
    </xdr:from>
    <xdr:to>
      <xdr:col>5</xdr:col>
      <xdr:colOff>266700</xdr:colOff>
      <xdr:row>34</xdr:row>
      <xdr:rowOff>171450</xdr:rowOff>
    </xdr:to>
    <xdr:sp macro="" textlink="">
      <xdr:nvSpPr>
        <xdr:cNvPr id="6" name="PIJL-RECHT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flipH="1">
          <a:off x="381000" y="6353176"/>
          <a:ext cx="2276475" cy="127634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9525</xdr:colOff>
      <xdr:row>8</xdr:row>
      <xdr:rowOff>28575</xdr:rowOff>
    </xdr:from>
    <xdr:to>
      <xdr:col>19</xdr:col>
      <xdr:colOff>209552</xdr:colOff>
      <xdr:row>14</xdr:row>
      <xdr:rowOff>104774</xdr:rowOff>
    </xdr:to>
    <xdr:sp macro="" textlink="">
      <xdr:nvSpPr>
        <xdr:cNvPr id="7" name="PIJL-RECHT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695575" y="2209800"/>
          <a:ext cx="3438527" cy="1276349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KOUD &amp; WARM BUFFET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31</xdr:col>
      <xdr:colOff>76200</xdr:colOff>
      <xdr:row>18</xdr:row>
      <xdr:rowOff>28575</xdr:rowOff>
    </xdr:from>
    <xdr:to>
      <xdr:col>44</xdr:col>
      <xdr:colOff>238125</xdr:colOff>
      <xdr:row>24</xdr:row>
      <xdr:rowOff>126165</xdr:rowOff>
    </xdr:to>
    <xdr:sp macro="" textlink="">
      <xdr:nvSpPr>
        <xdr:cNvPr id="8" name="PIJL-RECHTS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8972550" y="4210050"/>
          <a:ext cx="3457575" cy="1297740"/>
        </a:xfrm>
        <a:prstGeom prst="rightArrow">
          <a:avLst/>
        </a:prstGeom>
        <a:solidFill>
          <a:schemeClr val="bg2">
            <a:lumMod val="25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BBQ</a:t>
          </a:r>
          <a:r>
            <a:rPr lang="nl-NL" sz="20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 </a:t>
          </a:r>
          <a:endParaRPr lang="nl-NL" sz="14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9526</xdr:colOff>
      <xdr:row>21</xdr:row>
      <xdr:rowOff>190501</xdr:rowOff>
    </xdr:from>
    <xdr:to>
      <xdr:col>19</xdr:col>
      <xdr:colOff>209552</xdr:colOff>
      <xdr:row>27</xdr:row>
      <xdr:rowOff>266700</xdr:rowOff>
    </xdr:to>
    <xdr:sp macro="" textlink="">
      <xdr:nvSpPr>
        <xdr:cNvPr id="9" name="PIJL-RECHT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2695576" y="4972051"/>
          <a:ext cx="3438526" cy="1276349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BORREL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</xdr:colOff>
      <xdr:row>28</xdr:row>
      <xdr:rowOff>85726</xdr:rowOff>
    </xdr:from>
    <xdr:to>
      <xdr:col>19</xdr:col>
      <xdr:colOff>219077</xdr:colOff>
      <xdr:row>34</xdr:row>
      <xdr:rowOff>180975</xdr:rowOff>
    </xdr:to>
    <xdr:sp macro="" textlink="">
      <xdr:nvSpPr>
        <xdr:cNvPr id="10" name="PIJL-RECHT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86051" y="6343651"/>
          <a:ext cx="3457576" cy="1295399"/>
        </a:xfrm>
        <a:prstGeom prst="rightArrow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TAPAS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31</xdr:col>
      <xdr:colOff>85726</xdr:colOff>
      <xdr:row>8</xdr:row>
      <xdr:rowOff>28576</xdr:rowOff>
    </xdr:from>
    <xdr:to>
      <xdr:col>44</xdr:col>
      <xdr:colOff>228602</xdr:colOff>
      <xdr:row>14</xdr:row>
      <xdr:rowOff>104775</xdr:rowOff>
    </xdr:to>
    <xdr:sp macro="" textlink="">
      <xdr:nvSpPr>
        <xdr:cNvPr id="11" name="PIJL-RECHTS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8982076" y="2209801"/>
          <a:ext cx="3438526" cy="1276349"/>
        </a:xfrm>
        <a:prstGeom prst="rightArrow">
          <a:avLst/>
        </a:prstGeom>
        <a:solidFill>
          <a:srgbClr val="7030A0"/>
        </a:solidFill>
        <a:ln>
          <a:solidFill>
            <a:srgbClr val="7030A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LUNCH &amp; EVENTS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31</xdr:col>
      <xdr:colOff>47625</xdr:colOff>
      <xdr:row>28</xdr:row>
      <xdr:rowOff>85725</xdr:rowOff>
    </xdr:from>
    <xdr:to>
      <xdr:col>44</xdr:col>
      <xdr:colOff>219077</xdr:colOff>
      <xdr:row>34</xdr:row>
      <xdr:rowOff>183315</xdr:rowOff>
    </xdr:to>
    <xdr:sp macro="" textlink="">
      <xdr:nvSpPr>
        <xdr:cNvPr id="12" name="PIJL-RECHT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943975" y="6343650"/>
          <a:ext cx="3467102" cy="1297740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GOURMET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54</xdr:col>
      <xdr:colOff>66675</xdr:colOff>
      <xdr:row>3</xdr:row>
      <xdr:rowOff>314325</xdr:rowOff>
    </xdr:from>
    <xdr:to>
      <xdr:col>56</xdr:col>
      <xdr:colOff>533401</xdr:colOff>
      <xdr:row>8</xdr:row>
      <xdr:rowOff>59489</xdr:rowOff>
    </xdr:to>
    <xdr:sp macro="" textlink="">
      <xdr:nvSpPr>
        <xdr:cNvPr id="14" name="PIJL-RECHTS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5068550" y="1476375"/>
          <a:ext cx="1666876" cy="764339"/>
        </a:xfrm>
        <a:prstGeom prst="rightArrow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50000"/>
            </a:schemeClr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nl-NL" sz="1800" b="1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OVERIG</a:t>
          </a:r>
          <a:endParaRPr lang="nl-NL" sz="1800" b="0" i="1" u="none">
            <a:solidFill>
              <a:sysClr val="windowText" lastClr="000000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9526</xdr:colOff>
      <xdr:row>15</xdr:row>
      <xdr:rowOff>0</xdr:rowOff>
    </xdr:from>
    <xdr:to>
      <xdr:col>19</xdr:col>
      <xdr:colOff>209554</xdr:colOff>
      <xdr:row>21</xdr:row>
      <xdr:rowOff>76199</xdr:rowOff>
    </xdr:to>
    <xdr:sp macro="" textlink="">
      <xdr:nvSpPr>
        <xdr:cNvPr id="13" name="PIJL-RECHT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695576" y="3581400"/>
          <a:ext cx="3438528" cy="1276349"/>
        </a:xfrm>
        <a:prstGeom prst="rightArrow">
          <a:avLst/>
        </a:prstGeom>
        <a:solidFill>
          <a:schemeClr val="accent2">
            <a:lumMod val="50000"/>
          </a:schemeClr>
        </a:solidFill>
        <a:ln>
          <a:solidFill>
            <a:schemeClr val="accent2">
              <a:lumMod val="50000"/>
            </a:schemeClr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800" b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HAMBURGER BUFFET</a:t>
          </a:r>
          <a:endParaRPr lang="nl-NL" sz="18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118</xdr:row>
      <xdr:rowOff>0</xdr:rowOff>
    </xdr:from>
    <xdr:to>
      <xdr:col>14</xdr:col>
      <xdr:colOff>304800</xdr:colOff>
      <xdr:row>118</xdr:row>
      <xdr:rowOff>216632</xdr:rowOff>
    </xdr:to>
    <xdr:sp macro="" textlink="">
      <xdr:nvSpPr>
        <xdr:cNvPr id="2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4630400"/>
          <a:ext cx="304800" cy="30235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118</xdr:row>
      <xdr:rowOff>0</xdr:rowOff>
    </xdr:from>
    <xdr:to>
      <xdr:col>7</xdr:col>
      <xdr:colOff>526174</xdr:colOff>
      <xdr:row>118</xdr:row>
      <xdr:rowOff>252102</xdr:rowOff>
    </xdr:to>
    <xdr:sp macro="" textlink="">
      <xdr:nvSpPr>
        <xdr:cNvPr id="3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91325" y="13887450"/>
          <a:ext cx="1404205" cy="30492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118</xdr:row>
      <xdr:rowOff>0</xdr:rowOff>
    </xdr:from>
    <xdr:to>
      <xdr:col>7</xdr:col>
      <xdr:colOff>526174</xdr:colOff>
      <xdr:row>118</xdr:row>
      <xdr:rowOff>252102</xdr:rowOff>
    </xdr:to>
    <xdr:sp macro="" textlink="">
      <xdr:nvSpPr>
        <xdr:cNvPr id="4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91325" y="13887450"/>
          <a:ext cx="1404205" cy="304923"/>
        </a:xfrm>
        <a:prstGeom prst="rect">
          <a:avLst/>
        </a:prstGeom>
        <a:noFill/>
      </xdr:spPr>
    </xdr:sp>
    <xdr:clientData/>
  </xdr:twoCellAnchor>
  <xdr:twoCellAnchor>
    <xdr:from>
      <xdr:col>9</xdr:col>
      <xdr:colOff>59170</xdr:colOff>
      <xdr:row>13</xdr:row>
      <xdr:rowOff>0</xdr:rowOff>
    </xdr:from>
    <xdr:to>
      <xdr:col>9</xdr:col>
      <xdr:colOff>233796</xdr:colOff>
      <xdr:row>13</xdr:row>
      <xdr:rowOff>251114</xdr:rowOff>
    </xdr:to>
    <xdr:sp macro="" textlink="">
      <xdr:nvSpPr>
        <xdr:cNvPr id="9" name="PIJL-OMLAAG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965170" y="314325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304800</xdr:colOff>
      <xdr:row>137</xdr:row>
      <xdr:rowOff>188057</xdr:rowOff>
    </xdr:to>
    <xdr:sp macro="" textlink="">
      <xdr:nvSpPr>
        <xdr:cNvPr id="10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0330295" y="14027727"/>
          <a:ext cx="304800" cy="21663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137</xdr:row>
      <xdr:rowOff>0</xdr:rowOff>
    </xdr:from>
    <xdr:to>
      <xdr:col>7</xdr:col>
      <xdr:colOff>526174</xdr:colOff>
      <xdr:row>137</xdr:row>
      <xdr:rowOff>194952</xdr:rowOff>
    </xdr:to>
    <xdr:sp macro="" textlink="">
      <xdr:nvSpPr>
        <xdr:cNvPr id="11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4849091" y="14027727"/>
          <a:ext cx="1374764" cy="252102"/>
        </a:xfrm>
        <a:prstGeom prst="rect">
          <a:avLst/>
        </a:prstGeom>
        <a:noFill/>
      </xdr:spPr>
    </xdr:sp>
    <xdr:clientData/>
  </xdr:twoCellAnchor>
  <xdr:twoCellAnchor editAs="absolute">
    <xdr:from>
      <xdr:col>0</xdr:col>
      <xdr:colOff>538598</xdr:colOff>
      <xdr:row>7</xdr:row>
      <xdr:rowOff>45877</xdr:rowOff>
    </xdr:from>
    <xdr:to>
      <xdr:col>1</xdr:col>
      <xdr:colOff>4448</xdr:colOff>
      <xdr:row>12</xdr:row>
      <xdr:rowOff>103893</xdr:rowOff>
    </xdr:to>
    <xdr:sp macro="" textlink="">
      <xdr:nvSpPr>
        <xdr:cNvPr id="12" name="PIJL-RECHTS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/>
        </xdr:cNvSpPr>
      </xdr:nvSpPr>
      <xdr:spPr>
        <a:xfrm flipH="1">
          <a:off x="538598" y="1931827"/>
          <a:ext cx="2303318" cy="1267691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520413</xdr:colOff>
      <xdr:row>1</xdr:row>
      <xdr:rowOff>161925</xdr:rowOff>
    </xdr:from>
    <xdr:to>
      <xdr:col>1</xdr:col>
      <xdr:colOff>981</xdr:colOff>
      <xdr:row>6</xdr:row>
      <xdr:rowOff>192245</xdr:rowOff>
    </xdr:to>
    <xdr:sp macro="" textlink="">
      <xdr:nvSpPr>
        <xdr:cNvPr id="13" name="PIJL-RECHT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/>
        </xdr:cNvSpPr>
      </xdr:nvSpPr>
      <xdr:spPr>
        <a:xfrm flipH="1">
          <a:off x="520413" y="495300"/>
          <a:ext cx="2318036" cy="1335245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531666</xdr:colOff>
      <xdr:row>266</xdr:row>
      <xdr:rowOff>109942</xdr:rowOff>
    </xdr:from>
    <xdr:to>
      <xdr:col>0</xdr:col>
      <xdr:colOff>2825557</xdr:colOff>
      <xdr:row>273</xdr:row>
      <xdr:rowOff>6032</xdr:rowOff>
    </xdr:to>
    <xdr:sp macro="" textlink="">
      <xdr:nvSpPr>
        <xdr:cNvPr id="14" name="PIJL-RECHTS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/>
        </xdr:cNvSpPr>
      </xdr:nvSpPr>
      <xdr:spPr>
        <a:xfrm flipH="1">
          <a:off x="531666" y="67042117"/>
          <a:ext cx="2303318" cy="1229590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523007</xdr:colOff>
      <xdr:row>260</xdr:row>
      <xdr:rowOff>18185</xdr:rowOff>
    </xdr:from>
    <xdr:to>
      <xdr:col>0</xdr:col>
      <xdr:colOff>2826325</xdr:colOff>
      <xdr:row>265</xdr:row>
      <xdr:rowOff>70139</xdr:rowOff>
    </xdr:to>
    <xdr:sp macro="" textlink="">
      <xdr:nvSpPr>
        <xdr:cNvPr id="15" name="PIJL-RECHTS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/>
        </xdr:cNvSpPr>
      </xdr:nvSpPr>
      <xdr:spPr>
        <a:xfrm flipH="1">
          <a:off x="523007" y="65578760"/>
          <a:ext cx="2303318" cy="1233054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10392</xdr:colOff>
      <xdr:row>6</xdr:row>
      <xdr:rowOff>222541</xdr:rowOff>
    </xdr:from>
    <xdr:to>
      <xdr:col>20</xdr:col>
      <xdr:colOff>88323</xdr:colOff>
      <xdr:row>12</xdr:row>
      <xdr:rowOff>190500</xdr:rowOff>
    </xdr:to>
    <xdr:sp macro="" textlink="">
      <xdr:nvSpPr>
        <xdr:cNvPr id="18" name="PIJL-RECHTS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3431117" y="1860841"/>
          <a:ext cx="2687781" cy="1425284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17320</xdr:colOff>
      <xdr:row>260</xdr:row>
      <xdr:rowOff>43296</xdr:rowOff>
    </xdr:from>
    <xdr:to>
      <xdr:col>20</xdr:col>
      <xdr:colOff>95251</xdr:colOff>
      <xdr:row>265</xdr:row>
      <xdr:rowOff>112568</xdr:rowOff>
    </xdr:to>
    <xdr:sp macro="" textlink="">
      <xdr:nvSpPr>
        <xdr:cNvPr id="19" name="PIJL-RECHTS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3438045" y="61117596"/>
          <a:ext cx="2687781" cy="1250372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549852</xdr:colOff>
      <xdr:row>132</xdr:row>
      <xdr:rowOff>13825</xdr:rowOff>
    </xdr:from>
    <xdr:to>
      <xdr:col>0</xdr:col>
      <xdr:colOff>2824889</xdr:colOff>
      <xdr:row>137</xdr:row>
      <xdr:rowOff>281391</xdr:rowOff>
    </xdr:to>
    <xdr:sp macro="" textlink="">
      <xdr:nvSpPr>
        <xdr:cNvPr id="21" name="PIJL-RECHTS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/>
        </xdr:cNvSpPr>
      </xdr:nvSpPr>
      <xdr:spPr>
        <a:xfrm flipH="1">
          <a:off x="549852" y="32941750"/>
          <a:ext cx="2303318" cy="1267691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560243</xdr:colOff>
      <xdr:row>125</xdr:row>
      <xdr:rowOff>133350</xdr:rowOff>
    </xdr:from>
    <xdr:to>
      <xdr:col>1</xdr:col>
      <xdr:colOff>6061</xdr:colOff>
      <xdr:row>131</xdr:row>
      <xdr:rowOff>129020</xdr:rowOff>
    </xdr:to>
    <xdr:sp macro="" textlink="">
      <xdr:nvSpPr>
        <xdr:cNvPr id="22" name="PIJL-RECHTS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Aspect="1"/>
        </xdr:cNvSpPr>
      </xdr:nvSpPr>
      <xdr:spPr>
        <a:xfrm flipH="1">
          <a:off x="560243" y="31613475"/>
          <a:ext cx="2303318" cy="1252970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6062</xdr:colOff>
      <xdr:row>132</xdr:row>
      <xdr:rowOff>19916</xdr:rowOff>
    </xdr:from>
    <xdr:to>
      <xdr:col>20</xdr:col>
      <xdr:colOff>83993</xdr:colOff>
      <xdr:row>138</xdr:row>
      <xdr:rowOff>6928</xdr:rowOff>
    </xdr:to>
    <xdr:sp macro="" textlink="">
      <xdr:nvSpPr>
        <xdr:cNvPr id="23" name="PIJL-RECHTS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4264987" y="32947841"/>
          <a:ext cx="2687781" cy="127288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555049</xdr:colOff>
      <xdr:row>191</xdr:row>
      <xdr:rowOff>30277</xdr:rowOff>
    </xdr:from>
    <xdr:to>
      <xdr:col>1</xdr:col>
      <xdr:colOff>867</xdr:colOff>
      <xdr:row>195</xdr:row>
      <xdr:rowOff>134186</xdr:rowOff>
    </xdr:to>
    <xdr:sp macro="" textlink="">
      <xdr:nvSpPr>
        <xdr:cNvPr id="24" name="PIJL-RECHTS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Aspect="1"/>
        </xdr:cNvSpPr>
      </xdr:nvSpPr>
      <xdr:spPr>
        <a:xfrm flipH="1">
          <a:off x="555049" y="47007577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555915</xdr:colOff>
      <xdr:row>185</xdr:row>
      <xdr:rowOff>264102</xdr:rowOff>
    </xdr:from>
    <xdr:to>
      <xdr:col>1</xdr:col>
      <xdr:colOff>1733</xdr:colOff>
      <xdr:row>190</xdr:row>
      <xdr:rowOff>82261</xdr:rowOff>
    </xdr:to>
    <xdr:sp macro="" textlink="">
      <xdr:nvSpPr>
        <xdr:cNvPr id="25" name="PIJL-RECHTS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spect="1"/>
        </xdr:cNvSpPr>
      </xdr:nvSpPr>
      <xdr:spPr>
        <a:xfrm flipH="1">
          <a:off x="555915" y="45526902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702253</xdr:colOff>
      <xdr:row>194</xdr:row>
      <xdr:rowOff>242455</xdr:rowOff>
    </xdr:from>
    <xdr:to>
      <xdr:col>1</xdr:col>
      <xdr:colOff>866</xdr:colOff>
      <xdr:row>199</xdr:row>
      <xdr:rowOff>77932</xdr:rowOff>
    </xdr:to>
    <xdr:sp macro="" textlink="">
      <xdr:nvSpPr>
        <xdr:cNvPr id="26" name="PIJL-RECHTS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702253" y="46457755"/>
          <a:ext cx="2156113" cy="126422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16</xdr:col>
      <xdr:colOff>8659</xdr:colOff>
      <xdr:row>185</xdr:row>
      <xdr:rowOff>0</xdr:rowOff>
    </xdr:from>
    <xdr:to>
      <xdr:col>25</xdr:col>
      <xdr:colOff>366799</xdr:colOff>
      <xdr:row>217</xdr:row>
      <xdr:rowOff>2</xdr:rowOff>
    </xdr:to>
    <xdr:pic>
      <xdr:nvPicPr>
        <xdr:cNvPr id="20" name="Afbeelding 19" descr="2025 belegkeuzes HOOG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48509" y="44138850"/>
          <a:ext cx="4320540" cy="9144002"/>
        </a:xfrm>
        <a:prstGeom prst="rect">
          <a:avLst/>
        </a:prstGeom>
      </xdr:spPr>
    </xdr:pic>
    <xdr:clientData/>
  </xdr:twoCellAnchor>
  <xdr:twoCellAnchor>
    <xdr:from>
      <xdr:col>0</xdr:col>
      <xdr:colOff>1800225</xdr:colOff>
      <xdr:row>122</xdr:row>
      <xdr:rowOff>57150</xdr:rowOff>
    </xdr:from>
    <xdr:to>
      <xdr:col>0</xdr:col>
      <xdr:colOff>2771775</xdr:colOff>
      <xdr:row>122</xdr:row>
      <xdr:rowOff>200025</xdr:rowOff>
    </xdr:to>
    <xdr:sp macro="" textlink="">
      <xdr:nvSpPr>
        <xdr:cNvPr id="27" name="PIJL-RECHTS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1800225" y="16697325"/>
          <a:ext cx="971550" cy="142875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endParaRPr lang="nl-NL" sz="16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1800225</xdr:colOff>
      <xdr:row>123</xdr:row>
      <xdr:rowOff>66675</xdr:rowOff>
    </xdr:from>
    <xdr:to>
      <xdr:col>0</xdr:col>
      <xdr:colOff>2771775</xdr:colOff>
      <xdr:row>123</xdr:row>
      <xdr:rowOff>209550</xdr:rowOff>
    </xdr:to>
    <xdr:sp macro="" textlink="">
      <xdr:nvSpPr>
        <xdr:cNvPr id="34" name="PIJL-RECHTS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1800225" y="16954500"/>
          <a:ext cx="971550" cy="142875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endParaRPr lang="nl-NL" sz="16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59170</xdr:colOff>
      <xdr:row>81</xdr:row>
      <xdr:rowOff>0</xdr:rowOff>
    </xdr:from>
    <xdr:to>
      <xdr:col>9</xdr:col>
      <xdr:colOff>233796</xdr:colOff>
      <xdr:row>81</xdr:row>
      <xdr:rowOff>251114</xdr:rowOff>
    </xdr:to>
    <xdr:sp macro="" textlink="">
      <xdr:nvSpPr>
        <xdr:cNvPr id="29" name="PIJL-OMLAAG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9955645" y="339090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59170</xdr:colOff>
      <xdr:row>96</xdr:row>
      <xdr:rowOff>0</xdr:rowOff>
    </xdr:from>
    <xdr:to>
      <xdr:col>9</xdr:col>
      <xdr:colOff>233796</xdr:colOff>
      <xdr:row>96</xdr:row>
      <xdr:rowOff>251114</xdr:rowOff>
    </xdr:to>
    <xdr:sp macro="" textlink="">
      <xdr:nvSpPr>
        <xdr:cNvPr id="30" name="PIJL-OMLAAG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9955645" y="1933575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59170</xdr:colOff>
      <xdr:row>96</xdr:row>
      <xdr:rowOff>0</xdr:rowOff>
    </xdr:from>
    <xdr:to>
      <xdr:col>9</xdr:col>
      <xdr:colOff>233796</xdr:colOff>
      <xdr:row>96</xdr:row>
      <xdr:rowOff>251114</xdr:rowOff>
    </xdr:to>
    <xdr:sp macro="" textlink="">
      <xdr:nvSpPr>
        <xdr:cNvPr id="31" name="PIJL-OMLAAG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9955645" y="1933575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0</xdr:col>
      <xdr:colOff>859269</xdr:colOff>
      <xdr:row>67</xdr:row>
      <xdr:rowOff>9525</xdr:rowOff>
    </xdr:from>
    <xdr:to>
      <xdr:col>0</xdr:col>
      <xdr:colOff>1724024</xdr:colOff>
      <xdr:row>80</xdr:row>
      <xdr:rowOff>47624</xdr:rowOff>
    </xdr:to>
    <xdr:sp macro="" textlink="">
      <xdr:nvSpPr>
        <xdr:cNvPr id="33" name="PIJL-OMLAAG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859269" y="16830675"/>
          <a:ext cx="864755" cy="3371849"/>
        </a:xfrm>
        <a:prstGeom prst="downArrow">
          <a:avLst/>
        </a:prstGeom>
        <a:solidFill>
          <a:srgbClr val="FFFF00"/>
        </a:solidFill>
        <a:ln w="15875" cap="flat" cmpd="sng">
          <a:solidFill>
            <a:srgbClr val="FF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304800</xdr:colOff>
      <xdr:row>118</xdr:row>
      <xdr:rowOff>216632</xdr:rowOff>
    </xdr:to>
    <xdr:sp macro="" textlink="">
      <xdr:nvSpPr>
        <xdr:cNvPr id="32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13544550" y="29718000"/>
          <a:ext cx="304800" cy="21663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118</xdr:row>
      <xdr:rowOff>0</xdr:rowOff>
    </xdr:from>
    <xdr:to>
      <xdr:col>7</xdr:col>
      <xdr:colOff>526174</xdr:colOff>
      <xdr:row>118</xdr:row>
      <xdr:rowOff>252102</xdr:rowOff>
    </xdr:to>
    <xdr:sp macro="" textlink="">
      <xdr:nvSpPr>
        <xdr:cNvPr id="35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562850" y="29718000"/>
          <a:ext cx="1373899" cy="252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118</xdr:row>
      <xdr:rowOff>0</xdr:rowOff>
    </xdr:from>
    <xdr:to>
      <xdr:col>7</xdr:col>
      <xdr:colOff>526174</xdr:colOff>
      <xdr:row>118</xdr:row>
      <xdr:rowOff>252102</xdr:rowOff>
    </xdr:to>
    <xdr:sp macro="" textlink="">
      <xdr:nvSpPr>
        <xdr:cNvPr id="39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562850" y="29718000"/>
          <a:ext cx="1373899" cy="252102"/>
        </a:xfrm>
        <a:prstGeom prst="rect">
          <a:avLst/>
        </a:prstGeom>
        <a:noFill/>
      </xdr:spPr>
    </xdr:sp>
    <xdr:clientData/>
  </xdr:twoCellAnchor>
  <xdr:twoCellAnchor>
    <xdr:from>
      <xdr:col>9</xdr:col>
      <xdr:colOff>59170</xdr:colOff>
      <xdr:row>13</xdr:row>
      <xdr:rowOff>0</xdr:rowOff>
    </xdr:from>
    <xdr:to>
      <xdr:col>9</xdr:col>
      <xdr:colOff>233796</xdr:colOff>
      <xdr:row>13</xdr:row>
      <xdr:rowOff>251114</xdr:rowOff>
    </xdr:to>
    <xdr:sp macro="" textlink="">
      <xdr:nvSpPr>
        <xdr:cNvPr id="40" name="PIJL-OMLAAG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0584295" y="339090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304800</xdr:colOff>
      <xdr:row>137</xdr:row>
      <xdr:rowOff>188057</xdr:rowOff>
    </xdr:to>
    <xdr:sp macro="" textlink="">
      <xdr:nvSpPr>
        <xdr:cNvPr id="41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13544550" y="33928050"/>
          <a:ext cx="304800" cy="18805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137</xdr:row>
      <xdr:rowOff>0</xdr:rowOff>
    </xdr:from>
    <xdr:to>
      <xdr:col>7</xdr:col>
      <xdr:colOff>526174</xdr:colOff>
      <xdr:row>137</xdr:row>
      <xdr:rowOff>194952</xdr:rowOff>
    </xdr:to>
    <xdr:sp macro="" textlink="">
      <xdr:nvSpPr>
        <xdr:cNvPr id="42" name="AutoShape 1" descr="https://mail.one.com/api/info%40voltafood.nl/mail/1/INBOX.VOLTA%20Kerstmis%202018/1516327847/3/2.2?contentId=part1.38C08A5F.32E9E22A%40voltafood.nl&amp;size=9874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562850" y="33928050"/>
          <a:ext cx="1373899" cy="194952"/>
        </a:xfrm>
        <a:prstGeom prst="rect">
          <a:avLst/>
        </a:prstGeom>
        <a:noFill/>
      </xdr:spPr>
    </xdr:sp>
    <xdr:clientData/>
  </xdr:twoCellAnchor>
  <xdr:twoCellAnchor>
    <xdr:from>
      <xdr:col>0</xdr:col>
      <xdr:colOff>702253</xdr:colOff>
      <xdr:row>194</xdr:row>
      <xdr:rowOff>242455</xdr:rowOff>
    </xdr:from>
    <xdr:to>
      <xdr:col>1</xdr:col>
      <xdr:colOff>866</xdr:colOff>
      <xdr:row>199</xdr:row>
      <xdr:rowOff>77932</xdr:rowOff>
    </xdr:to>
    <xdr:sp macro="" textlink="">
      <xdr:nvSpPr>
        <xdr:cNvPr id="43" name="PIJL-RECHTS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702253" y="48077005"/>
          <a:ext cx="2156113" cy="126422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59170</xdr:colOff>
      <xdr:row>81</xdr:row>
      <xdr:rowOff>0</xdr:rowOff>
    </xdr:from>
    <xdr:to>
      <xdr:col>9</xdr:col>
      <xdr:colOff>233796</xdr:colOff>
      <xdr:row>81</xdr:row>
      <xdr:rowOff>251114</xdr:rowOff>
    </xdr:to>
    <xdr:sp macro="" textlink="">
      <xdr:nvSpPr>
        <xdr:cNvPr id="44" name="PIJL-OMLAAG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10584295" y="20402550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59170</xdr:colOff>
      <xdr:row>96</xdr:row>
      <xdr:rowOff>0</xdr:rowOff>
    </xdr:from>
    <xdr:to>
      <xdr:col>9</xdr:col>
      <xdr:colOff>233796</xdr:colOff>
      <xdr:row>96</xdr:row>
      <xdr:rowOff>251114</xdr:rowOff>
    </xdr:to>
    <xdr:sp macro="" textlink="">
      <xdr:nvSpPr>
        <xdr:cNvPr id="45" name="PIJL-OMLAAG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10584295" y="24222075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9</xdr:col>
      <xdr:colOff>59170</xdr:colOff>
      <xdr:row>96</xdr:row>
      <xdr:rowOff>0</xdr:rowOff>
    </xdr:from>
    <xdr:to>
      <xdr:col>9</xdr:col>
      <xdr:colOff>233796</xdr:colOff>
      <xdr:row>96</xdr:row>
      <xdr:rowOff>251114</xdr:rowOff>
    </xdr:to>
    <xdr:sp macro="" textlink="">
      <xdr:nvSpPr>
        <xdr:cNvPr id="46" name="PIJL-OMLAAG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>
          <a:off x="10584295" y="24222075"/>
          <a:ext cx="174626" cy="251114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15</xdr:col>
      <xdr:colOff>19050</xdr:colOff>
      <xdr:row>114</xdr:row>
      <xdr:rowOff>19050</xdr:rowOff>
    </xdr:from>
    <xdr:to>
      <xdr:col>20</xdr:col>
      <xdr:colOff>96981</xdr:colOff>
      <xdr:row>119</xdr:row>
      <xdr:rowOff>25112</xdr:rowOff>
    </xdr:to>
    <xdr:sp macro="" textlink="">
      <xdr:nvSpPr>
        <xdr:cNvPr id="47" name="PIJL-RECHTS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14277975" y="28746450"/>
          <a:ext cx="2687781" cy="127288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400" b="0" i="1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Terug naar BBQ bestelling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1104034</xdr:colOff>
      <xdr:row>5</xdr:row>
      <xdr:rowOff>109075</xdr:rowOff>
    </xdr:from>
    <xdr:to>
      <xdr:col>0</xdr:col>
      <xdr:colOff>3407352</xdr:colOff>
      <xdr:row>10</xdr:row>
      <xdr:rowOff>117734</xdr:rowOff>
    </xdr:to>
    <xdr:sp macro="" textlink="">
      <xdr:nvSpPr>
        <xdr:cNvPr id="2" name="PIJL-RECHT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/>
        </xdr:cNvSpPr>
      </xdr:nvSpPr>
      <xdr:spPr>
        <a:xfrm flipH="1">
          <a:off x="1104034" y="1823575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1095375</xdr:colOff>
      <xdr:row>0</xdr:row>
      <xdr:rowOff>342900</xdr:rowOff>
    </xdr:from>
    <xdr:to>
      <xdr:col>0</xdr:col>
      <xdr:colOff>3398693</xdr:colOff>
      <xdr:row>4</xdr:row>
      <xdr:rowOff>199159</xdr:rowOff>
    </xdr:to>
    <xdr:sp macro="" textlink="">
      <xdr:nvSpPr>
        <xdr:cNvPr id="3" name="PIJL-RECHT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/>
        </xdr:cNvSpPr>
      </xdr:nvSpPr>
      <xdr:spPr>
        <a:xfrm flipH="1">
          <a:off x="1095375" y="34290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1056409</xdr:colOff>
      <xdr:row>78</xdr:row>
      <xdr:rowOff>90025</xdr:rowOff>
    </xdr:from>
    <xdr:to>
      <xdr:col>0</xdr:col>
      <xdr:colOff>3359727</xdr:colOff>
      <xdr:row>82</xdr:row>
      <xdr:rowOff>232034</xdr:rowOff>
    </xdr:to>
    <xdr:sp macro="" textlink="">
      <xdr:nvSpPr>
        <xdr:cNvPr id="4" name="PIJL-RECHT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/>
        </xdr:cNvSpPr>
      </xdr:nvSpPr>
      <xdr:spPr>
        <a:xfrm flipH="1">
          <a:off x="1056409" y="2295955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1047750</xdr:colOff>
      <xdr:row>72</xdr:row>
      <xdr:rowOff>266700</xdr:rowOff>
    </xdr:from>
    <xdr:to>
      <xdr:col>0</xdr:col>
      <xdr:colOff>3351068</xdr:colOff>
      <xdr:row>77</xdr:row>
      <xdr:rowOff>132484</xdr:rowOff>
    </xdr:to>
    <xdr:sp macro="" textlink="">
      <xdr:nvSpPr>
        <xdr:cNvPr id="5" name="PIJL-RECHT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/>
        </xdr:cNvSpPr>
      </xdr:nvSpPr>
      <xdr:spPr>
        <a:xfrm flipH="1">
          <a:off x="1047750" y="21478875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133350</xdr:colOff>
      <xdr:row>0</xdr:row>
      <xdr:rowOff>361950</xdr:rowOff>
    </xdr:from>
    <xdr:to>
      <xdr:col>15</xdr:col>
      <xdr:colOff>968086</xdr:colOff>
      <xdr:row>5</xdr:row>
      <xdr:rowOff>6927</xdr:rowOff>
    </xdr:to>
    <xdr:sp macro="" textlink="">
      <xdr:nvSpPr>
        <xdr:cNvPr id="6" name="PIJL-RECHT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3963650" y="361950"/>
          <a:ext cx="2320636" cy="126422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13</xdr:col>
      <xdr:colOff>180975</xdr:colOff>
      <xdr:row>110</xdr:row>
      <xdr:rowOff>180975</xdr:rowOff>
    </xdr:from>
    <xdr:to>
      <xdr:col>15</xdr:col>
      <xdr:colOff>1015711</xdr:colOff>
      <xdr:row>116</xdr:row>
      <xdr:rowOff>73602</xdr:rowOff>
    </xdr:to>
    <xdr:sp macro="" textlink="">
      <xdr:nvSpPr>
        <xdr:cNvPr id="8" name="PIJL-RECHT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4354175" y="31727775"/>
          <a:ext cx="2320636" cy="1264227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1132609</xdr:colOff>
      <xdr:row>95</xdr:row>
      <xdr:rowOff>99550</xdr:rowOff>
    </xdr:from>
    <xdr:to>
      <xdr:col>0</xdr:col>
      <xdr:colOff>3435927</xdr:colOff>
      <xdr:row>100</xdr:row>
      <xdr:rowOff>203459</xdr:rowOff>
    </xdr:to>
    <xdr:sp macro="" textlink="">
      <xdr:nvSpPr>
        <xdr:cNvPr id="9" name="PIJL-RECHT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spect="1"/>
        </xdr:cNvSpPr>
      </xdr:nvSpPr>
      <xdr:spPr>
        <a:xfrm flipH="1">
          <a:off x="1132609" y="2789350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1104900</xdr:colOff>
      <xdr:row>89</xdr:row>
      <xdr:rowOff>38100</xdr:rowOff>
    </xdr:from>
    <xdr:to>
      <xdr:col>0</xdr:col>
      <xdr:colOff>3408218</xdr:colOff>
      <xdr:row>94</xdr:row>
      <xdr:rowOff>103909</xdr:rowOff>
    </xdr:to>
    <xdr:sp macro="" textlink="">
      <xdr:nvSpPr>
        <xdr:cNvPr id="10" name="PIJL-RECHT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spect="1"/>
        </xdr:cNvSpPr>
      </xdr:nvSpPr>
      <xdr:spPr>
        <a:xfrm flipH="1">
          <a:off x="1104900" y="2642235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12</xdr:col>
      <xdr:colOff>704850</xdr:colOff>
      <xdr:row>84</xdr:row>
      <xdr:rowOff>19050</xdr:rowOff>
    </xdr:from>
    <xdr:to>
      <xdr:col>15</xdr:col>
      <xdr:colOff>1192356</xdr:colOff>
      <xdr:row>86</xdr:row>
      <xdr:rowOff>257175</xdr:rowOff>
    </xdr:to>
    <xdr:sp macro="" textlink="">
      <xdr:nvSpPr>
        <xdr:cNvPr id="11" name="PIJL-RECHT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4373225" y="24545925"/>
          <a:ext cx="2687781" cy="1028700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400" b="0" i="1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Bestel Hamburgerbuffet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22427</xdr:colOff>
      <xdr:row>0</xdr:row>
      <xdr:rowOff>66006</xdr:rowOff>
    </xdr:from>
    <xdr:to>
      <xdr:col>19</xdr:col>
      <xdr:colOff>66674</xdr:colOff>
      <xdr:row>3</xdr:row>
      <xdr:rowOff>285750</xdr:rowOff>
    </xdr:to>
    <xdr:pic>
      <xdr:nvPicPr>
        <xdr:cNvPr id="2" name="Afbeelding 1" descr="LOGO e-mails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03827" y="66006"/>
          <a:ext cx="2520747" cy="1010319"/>
        </a:xfrm>
        <a:prstGeom prst="rect">
          <a:avLst/>
        </a:prstGeom>
      </xdr:spPr>
    </xdr:pic>
    <xdr:clientData/>
  </xdr:twoCellAnchor>
  <xdr:twoCellAnchor>
    <xdr:from>
      <xdr:col>5</xdr:col>
      <xdr:colOff>209545</xdr:colOff>
      <xdr:row>8</xdr:row>
      <xdr:rowOff>95252</xdr:rowOff>
    </xdr:from>
    <xdr:to>
      <xdr:col>14</xdr:col>
      <xdr:colOff>219074</xdr:colOff>
      <xdr:row>13</xdr:row>
      <xdr:rowOff>171451</xdr:rowOff>
    </xdr:to>
    <xdr:sp macro="" textlink="">
      <xdr:nvSpPr>
        <xdr:cNvPr id="3" name="PIJL-RECHT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flipH="1">
          <a:off x="2457445" y="2257427"/>
          <a:ext cx="2581279" cy="1495424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4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>
    <xdr:from>
      <xdr:col>51</xdr:col>
      <xdr:colOff>104775</xdr:colOff>
      <xdr:row>8</xdr:row>
      <xdr:rowOff>152400</xdr:rowOff>
    </xdr:from>
    <xdr:to>
      <xdr:col>56</xdr:col>
      <xdr:colOff>336837</xdr:colOff>
      <xdr:row>12</xdr:row>
      <xdr:rowOff>303068</xdr:rowOff>
    </xdr:to>
    <xdr:sp macro="" textlink="">
      <xdr:nvSpPr>
        <xdr:cNvPr id="11" name="PIJL-RECHT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4163675" y="2314575"/>
          <a:ext cx="2156112" cy="1255568"/>
        </a:xfrm>
        <a:prstGeom prst="right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nl-NL" sz="1600" b="1" u="sng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STAP 3</a:t>
          </a:r>
        </a:p>
        <a:p>
          <a:pPr algn="r"/>
          <a:r>
            <a:rPr lang="nl-NL" sz="1400" b="0" i="1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versturen</a:t>
          </a:r>
          <a:r>
            <a:rPr lang="nl-NL" sz="1400" b="0" i="1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bestelling</a:t>
          </a:r>
          <a:endParaRPr lang="nl-NL" sz="1400" b="0" i="1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222108</xdr:colOff>
      <xdr:row>14</xdr:row>
      <xdr:rowOff>47626</xdr:rowOff>
    </xdr:from>
    <xdr:to>
      <xdr:col>15</xdr:col>
      <xdr:colOff>59521</xdr:colOff>
      <xdr:row>18</xdr:row>
      <xdr:rowOff>276225</xdr:rowOff>
    </xdr:to>
    <xdr:sp macro="" textlink="">
      <xdr:nvSpPr>
        <xdr:cNvPr id="12" name="PIJL-RECHTS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spect="1"/>
        </xdr:cNvSpPr>
      </xdr:nvSpPr>
      <xdr:spPr>
        <a:xfrm flipH="1">
          <a:off x="2470008" y="3943351"/>
          <a:ext cx="2656813" cy="148589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20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11857</xdr:colOff>
      <xdr:row>1</xdr:row>
      <xdr:rowOff>10975</xdr:rowOff>
    </xdr:from>
    <xdr:to>
      <xdr:col>18</xdr:col>
      <xdr:colOff>59198</xdr:colOff>
      <xdr:row>2</xdr:row>
      <xdr:rowOff>9525</xdr:rowOff>
    </xdr:to>
    <xdr:pic>
      <xdr:nvPicPr>
        <xdr:cNvPr id="2" name="Afbeelding 1" descr="LOGO e-mails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83632" y="639625"/>
          <a:ext cx="3085816" cy="1236800"/>
        </a:xfrm>
        <a:prstGeom prst="rect">
          <a:avLst/>
        </a:prstGeom>
      </xdr:spPr>
    </xdr:pic>
    <xdr:clientData/>
  </xdr:twoCellAnchor>
  <xdr:twoCellAnchor>
    <xdr:from>
      <xdr:col>26</xdr:col>
      <xdr:colOff>190500</xdr:colOff>
      <xdr:row>18</xdr:row>
      <xdr:rowOff>133350</xdr:rowOff>
    </xdr:from>
    <xdr:to>
      <xdr:col>55</xdr:col>
      <xdr:colOff>311730</xdr:colOff>
      <xdr:row>25</xdr:row>
      <xdr:rowOff>192907</xdr:rowOff>
    </xdr:to>
    <xdr:sp macro="" textlink="">
      <xdr:nvSpPr>
        <xdr:cNvPr id="5" name="PIJL-OMLAAG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 rot="16200000">
          <a:off x="10946486" y="2607589"/>
          <a:ext cx="1793107" cy="7722180"/>
        </a:xfrm>
        <a:prstGeom prst="downArrow">
          <a:avLst>
            <a:gd name="adj1" fmla="val 64634"/>
            <a:gd name="adj2" fmla="val 50000"/>
          </a:avLst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27</xdr:col>
      <xdr:colOff>19050</xdr:colOff>
      <xdr:row>19</xdr:row>
      <xdr:rowOff>190501</xdr:rowOff>
    </xdr:from>
    <xdr:to>
      <xdr:col>53</xdr:col>
      <xdr:colOff>150178</xdr:colOff>
      <xdr:row>24</xdr:row>
      <xdr:rowOff>114300</xdr:rowOff>
    </xdr:to>
    <xdr:sp macro="" textlink="">
      <xdr:nvSpPr>
        <xdr:cNvPr id="6" name="Tekstvak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8058150" y="5876926"/>
          <a:ext cx="6617653" cy="1162049"/>
        </a:xfrm>
        <a:prstGeom prst="rect">
          <a:avLst/>
        </a:prstGeom>
        <a:solidFill>
          <a:srgbClr val="002060"/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r"/>
          <a:r>
            <a:rPr lang="nl-NL" sz="2500" b="1" u="none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SAVE DIT BESTAND</a:t>
          </a:r>
        </a:p>
        <a:p>
          <a:pPr algn="r"/>
          <a:r>
            <a:rPr lang="nl-NL" sz="1800" b="1" i="1" u="none">
              <a:solidFill>
                <a:schemeClr val="accent5">
                  <a:lumMod val="60000"/>
                  <a:lumOff val="40000"/>
                </a:schemeClr>
              </a:solidFill>
              <a:latin typeface="Arial" panose="020B0604020202020204" pitchFamily="7" charset="0"/>
              <a:cs typeface="Arial" panose="020B0604020202020204" pitchFamily="7" charset="0"/>
            </a:rPr>
            <a:t>onder een andere naam</a:t>
          </a:r>
        </a:p>
        <a:p>
          <a:pPr algn="r"/>
          <a:r>
            <a:rPr lang="nl-NL" sz="2500" b="1" u="none" baseline="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 EN MAIL HET NAAR info@voltafood.nl</a:t>
          </a:r>
          <a:r>
            <a:rPr lang="nl-NL" sz="1800" b="1" i="1" u="none" baseline="0">
              <a:solidFill>
                <a:srgbClr val="B7DEE8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  <a:endParaRPr lang="nl-NL" sz="1800" b="1" i="1" u="none">
            <a:solidFill>
              <a:srgbClr val="B7DEE8"/>
            </a:solidFill>
            <a:latin typeface="Arial Black" panose="020B0A04020102020204" pitchFamily="34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285750</xdr:colOff>
      <xdr:row>3</xdr:row>
      <xdr:rowOff>0</xdr:rowOff>
    </xdr:from>
    <xdr:to>
      <xdr:col>5</xdr:col>
      <xdr:colOff>341168</xdr:colOff>
      <xdr:row>6</xdr:row>
      <xdr:rowOff>132484</xdr:rowOff>
    </xdr:to>
    <xdr:sp macro="" textlink="">
      <xdr:nvSpPr>
        <xdr:cNvPr id="9" name="PIJL-RECHT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spect="1"/>
        </xdr:cNvSpPr>
      </xdr:nvSpPr>
      <xdr:spPr>
        <a:xfrm flipH="1">
          <a:off x="285750" y="173355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bestelgegevens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295275</xdr:colOff>
      <xdr:row>7</xdr:row>
      <xdr:rowOff>180975</xdr:rowOff>
    </xdr:from>
    <xdr:to>
      <xdr:col>5</xdr:col>
      <xdr:colOff>350693</xdr:colOff>
      <xdr:row>12</xdr:row>
      <xdr:rowOff>161059</xdr:rowOff>
    </xdr:to>
    <xdr:sp macro="" textlink="">
      <xdr:nvSpPr>
        <xdr:cNvPr id="10" name="PIJL-RECHT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spect="1"/>
        </xdr:cNvSpPr>
      </xdr:nvSpPr>
      <xdr:spPr>
        <a:xfrm flipH="1">
          <a:off x="295275" y="3276600"/>
          <a:ext cx="2303318" cy="1246909"/>
        </a:xfrm>
        <a:prstGeom prst="rightArrow">
          <a:avLst/>
        </a:prstGeom>
        <a:solidFill>
          <a:srgbClr val="000066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nl-N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Terug naar bestelkeuze</a:t>
          </a:r>
          <a:endParaRPr lang="nl-NL" sz="1600" b="0" i="1" u="none">
            <a:solidFill>
              <a:schemeClr val="bg1"/>
            </a:solidFill>
            <a:latin typeface="Arial Black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47625</xdr:rowOff>
    </xdr:from>
    <xdr:to>
      <xdr:col>1</xdr:col>
      <xdr:colOff>2801426</xdr:colOff>
      <xdr:row>2</xdr:row>
      <xdr:rowOff>95940</xdr:rowOff>
    </xdr:to>
    <xdr:sp macro="" textlink="">
      <xdr:nvSpPr>
        <xdr:cNvPr id="2" name="PIJL-OMLAAG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 rot="5400000">
          <a:off x="1495618" y="-981268"/>
          <a:ext cx="724590" cy="2782376"/>
        </a:xfrm>
        <a:prstGeom prst="downArrow">
          <a:avLst>
            <a:gd name="adj1" fmla="val 64634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vert270" rtlCol="0" anchor="ctr" anchorCtr="0"/>
        <a:lstStyle/>
        <a:p>
          <a:pPr algn="ctr"/>
          <a:r>
            <a:rPr lang="nl-NL" sz="1800" b="1">
              <a:latin typeface="Arial" pitchFamily="34" charset="0"/>
              <a:cs typeface="Arial" pitchFamily="34" charset="0"/>
            </a:rPr>
            <a:t>NOG</a:t>
          </a:r>
          <a:r>
            <a:rPr lang="nl-NL" sz="1800" b="1" baseline="0">
              <a:latin typeface="Arial" pitchFamily="34" charset="0"/>
              <a:cs typeface="Arial" pitchFamily="34" charset="0"/>
            </a:rPr>
            <a:t> EIGEN INVOER</a:t>
          </a:r>
          <a:endParaRPr lang="nl-NL" sz="18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rrie\AppData\Roaming\Microsoft\Excel\2025%20website%20BESTELFORMULIER%20LUN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d1"/>
      <sheetName val="Blad2"/>
      <sheetName val="Blad3"/>
    </sheetNames>
    <sheetDataSet>
      <sheetData sheetId="0">
        <row r="2">
          <cell r="Y2" t="str">
            <v>Klik &amp; Kies BROODSOORT</v>
          </cell>
        </row>
        <row r="4">
          <cell r="Y4" t="str">
            <v>¼ Stokbrood WIT 14 cm. extra breed</v>
          </cell>
        </row>
        <row r="5">
          <cell r="Y5" t="str">
            <v>¼ Stokbrood BRUIN 14 cm. extra breed</v>
          </cell>
        </row>
        <row r="6">
          <cell r="Y6" t="str">
            <v>Pistolets roomboter WIT 14 cm.</v>
          </cell>
        </row>
        <row r="7">
          <cell r="Y7" t="str">
            <v>Pistolets tarwe BRUIN 14 cm.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BDCCFB-6E97-47B2-9548-23033F1C7852}" name="Tabel1" displayName="Tabel1" ref="BJ40:BJ408" totalsRowShown="0" headerRowDxfId="55" dataDxfId="54">
  <autoFilter ref="BJ40:BJ408" xr:uid="{92BDCCFB-6E97-47B2-9548-23033F1C7852}"/>
  <tableColumns count="1">
    <tableColumn id="1" xr3:uid="{9F1ED125-16D0-4E75-97B1-26D09CFA4300}" name="MAAK KEUZE Datum Levering" dataDxfId="53">
      <calculatedColumnFormula>IF(BI40=1,BH40,"")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66"/>
        </a:solidFill>
      </a:spPr>
      <a:bodyPr vertOverflow="clip" rtlCol="0" anchor="ctr"/>
      <a:lstStyle>
        <a:defPPr algn="l">
          <a:defRPr sz="1600" b="1">
            <a:solidFill>
              <a:schemeClr val="bg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  <pageSetUpPr fitToPage="1"/>
  </sheetPr>
  <dimension ref="A1:CW207"/>
  <sheetViews>
    <sheetView showGridLines="0" showRowColHeaders="0" tabSelected="1" zoomScaleNormal="100" workbookViewId="0"/>
  </sheetViews>
  <sheetFormatPr defaultColWidth="9" defaultRowHeight="14.85"/>
  <cols>
    <col min="1" max="1" width="5.7109375" customWidth="1"/>
    <col min="2" max="2" width="14.7109375" customWidth="1"/>
    <col min="4" max="4" width="3.140625" customWidth="1"/>
    <col min="5" max="5" width="1.140625" customWidth="1"/>
    <col min="6" max="6" width="7.85546875" customWidth="1"/>
    <col min="7" max="7" width="4.42578125" customWidth="1"/>
    <col min="8" max="8" width="4" customWidth="1"/>
    <col min="9" max="53" width="3.7109375" customWidth="1"/>
    <col min="54" max="54" width="4" customWidth="1"/>
  </cols>
  <sheetData>
    <row r="1" spans="1:95" ht="15.0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95" ht="15.05" customHeight="1">
      <c r="A2" s="1"/>
      <c r="B2" s="1"/>
      <c r="C2" s="1"/>
      <c r="D2" s="1"/>
      <c r="E2" s="1"/>
      <c r="F2" s="1"/>
      <c r="G2" s="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6"/>
      <c r="V2" s="8"/>
      <c r="W2" s="3"/>
      <c r="X2" s="3"/>
      <c r="Y2" s="3"/>
      <c r="Z2" s="3"/>
      <c r="AA2" s="3"/>
      <c r="AB2" s="3"/>
      <c r="AC2" s="3"/>
      <c r="AD2" s="3"/>
      <c r="AE2" s="3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1:95" ht="20.0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920" t="s">
        <v>460</v>
      </c>
      <c r="T3" s="920"/>
      <c r="U3" s="920"/>
      <c r="V3" s="920"/>
      <c r="W3" s="920"/>
      <c r="X3" s="920"/>
      <c r="Y3" s="920"/>
      <c r="Z3" s="920"/>
      <c r="AA3" s="920"/>
      <c r="AB3" s="920"/>
      <c r="AC3" s="920"/>
      <c r="AD3" s="920"/>
      <c r="AE3" s="920"/>
      <c r="AF3" s="920"/>
      <c r="AG3" s="920"/>
      <c r="AH3" s="920"/>
      <c r="AI3" s="920"/>
      <c r="AJ3" s="920"/>
      <c r="AK3" s="920"/>
      <c r="AL3" s="920"/>
      <c r="AM3" s="920"/>
      <c r="AN3" s="920"/>
      <c r="AO3" s="920"/>
      <c r="AP3" s="920"/>
      <c r="AQ3" s="920"/>
      <c r="AR3" s="920"/>
      <c r="AS3" s="920"/>
      <c r="AT3" s="920"/>
      <c r="AU3" s="920"/>
      <c r="AV3" s="920"/>
      <c r="AW3" s="920"/>
      <c r="AX3" s="920"/>
      <c r="AY3" s="920"/>
      <c r="AZ3" s="920"/>
      <c r="BA3" s="920"/>
      <c r="BB3" s="920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5" ht="97.4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1:95" ht="20.0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20.0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1:95" ht="36.75" customHeight="1">
      <c r="A7" s="1"/>
      <c r="B7" s="1"/>
      <c r="C7" s="1"/>
      <c r="D7" s="1"/>
      <c r="E7" s="1"/>
      <c r="F7" s="1"/>
      <c r="G7" s="917" t="s">
        <v>459</v>
      </c>
      <c r="H7" s="918"/>
      <c r="I7" s="918"/>
      <c r="J7" s="918"/>
      <c r="K7" s="918"/>
      <c r="L7" s="918"/>
      <c r="M7" s="918"/>
      <c r="N7" s="918"/>
      <c r="O7" s="918"/>
      <c r="P7" s="918"/>
      <c r="Q7" s="918"/>
      <c r="R7" s="918"/>
      <c r="S7" s="918"/>
      <c r="T7" s="918"/>
      <c r="U7" s="918"/>
      <c r="V7" s="918"/>
      <c r="W7" s="918"/>
      <c r="X7" s="918"/>
      <c r="Y7" s="918"/>
      <c r="Z7" s="918"/>
      <c r="AA7" s="918"/>
      <c r="AB7" s="918"/>
      <c r="AC7" s="918"/>
      <c r="AD7" s="918"/>
      <c r="AE7" s="918"/>
      <c r="AF7" s="918"/>
      <c r="AG7" s="918"/>
      <c r="AH7" s="918"/>
      <c r="AI7" s="918"/>
      <c r="AJ7" s="918"/>
      <c r="AK7" s="918"/>
      <c r="AL7" s="918"/>
      <c r="AM7" s="918"/>
      <c r="AN7" s="918"/>
      <c r="AO7" s="918"/>
      <c r="AP7" s="918"/>
      <c r="AQ7" s="918"/>
      <c r="AR7" s="918"/>
      <c r="AS7" s="918"/>
      <c r="AT7" s="918"/>
      <c r="AU7" s="918"/>
      <c r="AV7" s="918"/>
      <c r="AW7" s="918"/>
      <c r="AX7" s="918"/>
      <c r="AY7" s="918"/>
      <c r="AZ7" s="918"/>
      <c r="BA7" s="918"/>
      <c r="BB7" s="919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1:95" ht="20.0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916">
        <f ca="1">TODAY()</f>
        <v>46093</v>
      </c>
      <c r="AY8" s="916"/>
      <c r="AZ8" s="916"/>
      <c r="BA8" s="916"/>
      <c r="BB8" s="916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1:95" ht="20.0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925" t="s">
        <v>1</v>
      </c>
      <c r="M9" s="925"/>
      <c r="N9" s="925"/>
      <c r="O9" s="925"/>
      <c r="P9" s="925"/>
      <c r="Q9" s="925"/>
      <c r="R9" s="925"/>
      <c r="S9" s="925"/>
      <c r="T9" s="925"/>
      <c r="U9" s="925"/>
      <c r="V9" s="925"/>
      <c r="W9" s="925"/>
      <c r="X9" s="925"/>
      <c r="Y9" s="925"/>
      <c r="Z9" s="925"/>
      <c r="AA9" s="925"/>
      <c r="AB9" s="925"/>
      <c r="AC9" s="925"/>
      <c r="AD9" s="925"/>
      <c r="AE9" s="925"/>
      <c r="AF9" s="925"/>
      <c r="AG9" s="925"/>
      <c r="AH9" s="925"/>
      <c r="AI9" s="925"/>
      <c r="AJ9" s="925"/>
      <c r="AK9" s="925"/>
      <c r="AL9" s="925"/>
      <c r="AM9" s="925"/>
      <c r="AN9" s="925"/>
      <c r="AO9" s="925"/>
      <c r="AP9" s="925"/>
      <c r="AQ9" s="925"/>
      <c r="AR9" s="925"/>
      <c r="AS9" s="925"/>
      <c r="AT9" s="925"/>
      <c r="AU9" s="925"/>
      <c r="AV9" s="925"/>
      <c r="AW9" s="925"/>
      <c r="AX9" s="925"/>
      <c r="AY9" s="925"/>
      <c r="AZ9" s="925"/>
      <c r="BA9" s="925"/>
      <c r="BB9" s="925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1:95" ht="20.0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928" t="s">
        <v>2</v>
      </c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11"/>
      <c r="AW10" s="11"/>
      <c r="AX10" s="11"/>
      <c r="AY10" s="11"/>
      <c r="AZ10" s="11"/>
      <c r="BA10" s="1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1:95" ht="20.0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925"/>
      <c r="M11" s="925"/>
      <c r="N11" s="925"/>
      <c r="O11" s="925"/>
      <c r="P11" s="925"/>
      <c r="Q11" s="925"/>
      <c r="R11" s="925"/>
      <c r="S11" s="925"/>
      <c r="T11" s="925"/>
      <c r="U11" s="925"/>
      <c r="V11" s="925"/>
      <c r="W11" s="925"/>
      <c r="X11" s="925"/>
      <c r="Y11" s="925"/>
      <c r="Z11" s="925"/>
      <c r="AA11" s="925"/>
      <c r="AB11" s="925"/>
      <c r="AC11" s="925"/>
      <c r="AD11" s="925"/>
      <c r="AE11" s="925"/>
      <c r="AF11" s="925"/>
      <c r="AG11" s="925"/>
      <c r="AH11" s="925"/>
      <c r="AI11" s="925"/>
      <c r="AJ11" s="925"/>
      <c r="AK11" s="925"/>
      <c r="AL11" s="925"/>
      <c r="AM11" s="925"/>
      <c r="AN11" s="925"/>
      <c r="AO11" s="925"/>
      <c r="AP11" s="925"/>
      <c r="AQ11" s="925"/>
      <c r="AR11" s="925"/>
      <c r="AS11" s="925"/>
      <c r="AT11" s="925"/>
      <c r="AU11" s="925"/>
      <c r="AV11" s="925"/>
      <c r="AW11" s="925"/>
      <c r="AX11" s="925"/>
      <c r="AY11" s="925"/>
      <c r="AZ11" s="925"/>
      <c r="BA11" s="925"/>
      <c r="BB11" s="925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1:95" ht="21.9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924" t="s">
        <v>625</v>
      </c>
      <c r="M12" s="924"/>
      <c r="N12" s="924"/>
      <c r="O12" s="924"/>
      <c r="P12" s="924"/>
      <c r="Q12" s="924"/>
      <c r="R12" s="924"/>
      <c r="S12" s="924"/>
      <c r="T12" s="924"/>
      <c r="U12" s="924"/>
      <c r="V12" s="924"/>
      <c r="W12" s="924"/>
      <c r="X12" s="924"/>
      <c r="Y12" s="924"/>
      <c r="Z12" s="924"/>
      <c r="AA12" s="924"/>
      <c r="AB12" s="924"/>
      <c r="AC12" s="924"/>
      <c r="AD12" s="924"/>
      <c r="AE12" s="924"/>
      <c r="AF12" s="924"/>
      <c r="AG12" s="924"/>
      <c r="AH12" s="924"/>
      <c r="AI12" s="924"/>
      <c r="AJ12" s="924"/>
      <c r="AK12" s="924"/>
      <c r="AL12" s="924"/>
      <c r="AM12" s="924"/>
      <c r="AN12" s="924"/>
      <c r="AO12" s="924"/>
      <c r="AP12" s="924"/>
      <c r="AQ12" s="924"/>
      <c r="AR12" s="924"/>
      <c r="AS12" s="924"/>
      <c r="AT12" s="924"/>
      <c r="AU12" s="924"/>
      <c r="AV12" s="924"/>
      <c r="AW12" s="924"/>
      <c r="AX12" s="924"/>
      <c r="AY12" s="924"/>
      <c r="AZ12" s="924"/>
      <c r="BA12" s="924"/>
      <c r="BB12" s="924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</row>
    <row r="13" spans="1:95" ht="21.9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924" t="s">
        <v>626</v>
      </c>
      <c r="M13" s="924"/>
      <c r="N13" s="924"/>
      <c r="O13" s="924"/>
      <c r="P13" s="924"/>
      <c r="Q13" s="924"/>
      <c r="R13" s="924"/>
      <c r="S13" s="924"/>
      <c r="T13" s="924"/>
      <c r="U13" s="924"/>
      <c r="V13" s="924"/>
      <c r="W13" s="924"/>
      <c r="X13" s="924"/>
      <c r="Y13" s="924"/>
      <c r="Z13" s="924"/>
      <c r="AA13" s="924"/>
      <c r="AB13" s="924"/>
      <c r="AC13" s="924"/>
      <c r="AD13" s="924"/>
      <c r="AE13" s="924"/>
      <c r="AF13" s="924"/>
      <c r="AG13" s="924"/>
      <c r="AH13" s="924"/>
      <c r="AI13" s="924"/>
      <c r="AJ13" s="924"/>
      <c r="AK13" s="924"/>
      <c r="AL13" s="924"/>
      <c r="AM13" s="924"/>
      <c r="AN13" s="924"/>
      <c r="AO13" s="924"/>
      <c r="AP13" s="924"/>
      <c r="AQ13" s="924"/>
      <c r="AR13" s="924"/>
      <c r="AS13" s="924"/>
      <c r="AT13" s="924"/>
      <c r="AU13" s="924"/>
      <c r="AV13" s="310"/>
      <c r="AW13" s="310"/>
      <c r="AX13" s="310"/>
      <c r="AY13" s="310"/>
      <c r="AZ13" s="310"/>
      <c r="BA13" s="310"/>
      <c r="BB13" s="31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1:95" ht="21.9" customHeight="1">
      <c r="L14" s="924" t="s">
        <v>542</v>
      </c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  <c r="AC14" s="924"/>
      <c r="AD14" s="924"/>
      <c r="AE14" s="924"/>
      <c r="AF14" s="924"/>
      <c r="AG14" s="924"/>
      <c r="AH14" s="924"/>
      <c r="AI14" s="924"/>
      <c r="AJ14" s="924"/>
      <c r="AK14" s="924"/>
      <c r="AL14" s="924"/>
      <c r="AM14" s="924"/>
      <c r="AN14" s="924"/>
      <c r="AO14" s="924"/>
      <c r="AP14" s="924"/>
      <c r="AQ14" s="924"/>
      <c r="AR14" s="924"/>
      <c r="AS14" s="924"/>
      <c r="AT14" s="924"/>
      <c r="AU14" s="924"/>
      <c r="AV14" s="312"/>
      <c r="AW14" s="312"/>
      <c r="AX14" s="312"/>
      <c r="AY14" s="312"/>
      <c r="AZ14" s="312"/>
      <c r="BA14" s="312"/>
      <c r="BB14" s="312"/>
    </row>
    <row r="15" spans="1:95" ht="20.0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926"/>
      <c r="M15" s="926"/>
      <c r="N15" s="926"/>
      <c r="O15" s="926"/>
      <c r="P15" s="926"/>
      <c r="Q15" s="926"/>
      <c r="R15" s="926"/>
      <c r="S15" s="926"/>
      <c r="T15" s="926"/>
      <c r="U15" s="926"/>
      <c r="V15" s="926"/>
      <c r="W15" s="926"/>
      <c r="X15" s="926"/>
      <c r="Y15" s="926"/>
      <c r="Z15" s="926"/>
      <c r="AA15" s="926"/>
      <c r="AB15" s="926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</row>
    <row r="16" spans="1:95" ht="20.0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8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7"/>
      <c r="AW16" s="7"/>
      <c r="AX16" s="7"/>
      <c r="AY16" s="7"/>
      <c r="AZ16" s="7"/>
      <c r="BA16" s="7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</row>
    <row r="17" spans="1:101" ht="20.0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7"/>
      <c r="AW17" s="7"/>
      <c r="AX17" s="7"/>
      <c r="AY17" s="7"/>
      <c r="AZ17" s="7"/>
      <c r="BA17" s="7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</row>
    <row r="18" spans="1:101" ht="20.0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915"/>
      <c r="M18" s="915"/>
      <c r="N18" s="915"/>
      <c r="O18" s="915"/>
      <c r="P18" s="915"/>
      <c r="Q18" s="915"/>
      <c r="R18" s="915"/>
      <c r="S18" s="915"/>
      <c r="T18" s="915"/>
      <c r="U18" s="915"/>
      <c r="V18" s="915"/>
      <c r="W18" s="915"/>
      <c r="X18" s="915"/>
      <c r="Y18" s="915"/>
      <c r="Z18" s="915"/>
      <c r="AA18" s="915"/>
      <c r="AB18" s="915"/>
      <c r="AC18" s="915"/>
      <c r="AD18" s="915"/>
      <c r="AE18" s="915"/>
      <c r="AF18" s="915"/>
      <c r="AG18" s="915"/>
      <c r="AH18" s="915"/>
      <c r="AI18" s="915"/>
      <c r="AJ18" s="915"/>
      <c r="AK18" s="915"/>
      <c r="AL18" s="915"/>
      <c r="AM18" s="915"/>
      <c r="AN18" s="915"/>
      <c r="AO18" s="915"/>
      <c r="AP18" s="12"/>
      <c r="AQ18" s="12"/>
      <c r="AR18" s="12"/>
      <c r="AS18" s="12"/>
      <c r="AT18" s="12"/>
      <c r="AU18" s="12"/>
      <c r="AV18" s="7"/>
      <c r="AW18" s="7"/>
      <c r="AX18" s="7"/>
      <c r="AY18" s="7"/>
      <c r="AZ18" s="7"/>
      <c r="BA18" s="7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</row>
    <row r="19" spans="1:101" ht="20.05" customHeight="1">
      <c r="A19" s="923"/>
      <c r="B19" s="923"/>
      <c r="C19" s="923"/>
      <c r="D19" s="1"/>
      <c r="E19" s="1"/>
      <c r="F19" s="1"/>
      <c r="G19" s="1"/>
      <c r="H19" s="1"/>
      <c r="I19" s="1"/>
      <c r="J19" s="1"/>
      <c r="K19" s="1"/>
      <c r="L19" s="915"/>
      <c r="M19" s="915"/>
      <c r="N19" s="915"/>
      <c r="O19" s="915"/>
      <c r="P19" s="915"/>
      <c r="Q19" s="915"/>
      <c r="R19" s="915"/>
      <c r="S19" s="915"/>
      <c r="T19" s="915"/>
      <c r="U19" s="915"/>
      <c r="V19" s="915"/>
      <c r="W19" s="915"/>
      <c r="X19" s="915"/>
      <c r="Y19" s="915"/>
      <c r="Z19" s="915"/>
      <c r="AA19" s="915"/>
      <c r="AB19" s="915"/>
      <c r="AC19" s="915"/>
      <c r="AD19" s="915"/>
      <c r="AE19" s="915"/>
      <c r="AF19" s="915"/>
      <c r="AG19" s="915"/>
      <c r="AH19" s="915"/>
      <c r="AI19" s="915"/>
      <c r="AJ19" s="915"/>
      <c r="AK19" s="915"/>
      <c r="AL19" s="915"/>
      <c r="AM19" s="915"/>
      <c r="AN19" s="915"/>
      <c r="AO19" s="12"/>
      <c r="AP19" s="12"/>
      <c r="AQ19" s="12"/>
      <c r="AR19" s="12"/>
      <c r="AS19" s="12"/>
      <c r="AT19" s="12"/>
      <c r="AU19" s="12"/>
      <c r="AV19" s="9"/>
      <c r="AW19" s="9"/>
      <c r="AX19" s="9"/>
      <c r="AY19" s="9"/>
      <c r="AZ19" s="9"/>
      <c r="BA19" s="9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</row>
    <row r="20" spans="1:101" ht="20.05" customHeight="1">
      <c r="A20" s="1"/>
      <c r="B20" s="921"/>
      <c r="C20" s="922"/>
      <c r="D20" s="922"/>
      <c r="E20" s="922"/>
      <c r="F20" s="2"/>
      <c r="G20" s="2"/>
      <c r="H20" s="1"/>
      <c r="I20" s="1"/>
      <c r="J20" s="1"/>
      <c r="K20" s="1"/>
      <c r="L20" s="915"/>
      <c r="M20" s="915"/>
      <c r="N20" s="915"/>
      <c r="O20" s="915"/>
      <c r="P20" s="915"/>
      <c r="Q20" s="915"/>
      <c r="R20" s="915"/>
      <c r="S20" s="915"/>
      <c r="T20" s="915"/>
      <c r="U20" s="915"/>
      <c r="V20" s="915"/>
      <c r="W20" s="915"/>
      <c r="X20" s="915"/>
      <c r="Y20" s="915"/>
      <c r="Z20" s="915"/>
      <c r="AA20" s="915"/>
      <c r="AB20" s="915"/>
      <c r="AC20" s="915"/>
      <c r="AD20" s="915"/>
      <c r="AE20" s="915"/>
      <c r="AF20" s="915"/>
      <c r="AG20" s="915"/>
      <c r="AH20" s="915"/>
      <c r="AI20" s="915"/>
      <c r="AJ20" s="915"/>
      <c r="AK20" s="915"/>
      <c r="AL20" s="915"/>
      <c r="AM20" s="915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</row>
    <row r="21" spans="1:101" ht="20.05" customHeight="1">
      <c r="A21" s="1"/>
      <c r="B21" s="5"/>
      <c r="C21" s="4"/>
      <c r="D21" s="4"/>
      <c r="E21" s="4"/>
      <c r="F21" s="2"/>
      <c r="G21" s="2"/>
      <c r="H21" s="1"/>
      <c r="I21" s="1"/>
      <c r="J21" s="1"/>
      <c r="K21" s="1"/>
      <c r="L21" s="915"/>
      <c r="M21" s="915"/>
      <c r="N21" s="915"/>
      <c r="O21" s="915"/>
      <c r="P21" s="915"/>
      <c r="Q21" s="915"/>
      <c r="R21" s="915"/>
      <c r="S21" s="915"/>
      <c r="T21" s="915"/>
      <c r="U21" s="915"/>
      <c r="V21" s="915"/>
      <c r="W21" s="915"/>
      <c r="X21" s="915"/>
      <c r="Y21" s="915"/>
      <c r="Z21" s="915"/>
      <c r="AA21" s="915"/>
      <c r="AB21" s="915"/>
      <c r="AC21" s="915"/>
      <c r="AD21" s="915"/>
      <c r="AE21" s="915"/>
      <c r="AF21" s="915"/>
      <c r="AG21" s="915"/>
      <c r="AH21" s="915"/>
      <c r="AI21" s="915"/>
      <c r="AJ21" s="915"/>
      <c r="AK21" s="915"/>
      <c r="AL21" s="915"/>
      <c r="AM21" s="915"/>
      <c r="AN21" s="14"/>
      <c r="AO21" s="14"/>
      <c r="AP21" s="14"/>
      <c r="AQ21" s="14"/>
      <c r="AR21" s="14"/>
      <c r="AS21" s="14"/>
      <c r="AT21" s="14"/>
      <c r="AU21" s="14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</row>
    <row r="22" spans="1:101" ht="20.05" customHeight="1">
      <c r="A22" s="1"/>
      <c r="B22" s="5"/>
      <c r="C22" s="4"/>
      <c r="D22" s="4"/>
      <c r="E22" s="4"/>
      <c r="F22" s="2"/>
      <c r="G22" s="2"/>
      <c r="H22" s="1"/>
      <c r="I22" s="1"/>
      <c r="J22" s="1"/>
      <c r="K22" s="1"/>
      <c r="L22" s="915"/>
      <c r="M22" s="915"/>
      <c r="N22" s="915"/>
      <c r="O22" s="915"/>
      <c r="P22" s="915"/>
      <c r="Q22" s="915"/>
      <c r="R22" s="915"/>
      <c r="S22" s="915"/>
      <c r="T22" s="915"/>
      <c r="U22" s="915"/>
      <c r="V22" s="915"/>
      <c r="W22" s="915"/>
      <c r="X22" s="915"/>
      <c r="Y22" s="915"/>
      <c r="Z22" s="915"/>
      <c r="AA22" s="915"/>
      <c r="AB22" s="915"/>
      <c r="AC22" s="915"/>
      <c r="AD22" s="915"/>
      <c r="AE22" s="915"/>
      <c r="AF22" s="915"/>
      <c r="AG22" s="915"/>
      <c r="AH22" s="915"/>
      <c r="AI22" s="915"/>
      <c r="AJ22" s="915"/>
      <c r="AK22" s="915"/>
      <c r="AL22" s="915"/>
      <c r="AM22" s="91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</row>
    <row r="23" spans="1:101" ht="20.05" customHeight="1">
      <c r="A23" s="10"/>
      <c r="B23" s="10"/>
      <c r="C23" s="10"/>
      <c r="D23" s="10"/>
      <c r="E23" s="10"/>
      <c r="F23" s="10"/>
      <c r="G23" s="1"/>
      <c r="H23" s="1"/>
      <c r="I23" s="1"/>
      <c r="J23" s="1"/>
      <c r="K23" s="1"/>
      <c r="L23" s="915"/>
      <c r="M23" s="915"/>
      <c r="N23" s="915"/>
      <c r="O23" s="915"/>
      <c r="P23" s="915"/>
      <c r="Q23" s="915"/>
      <c r="R23" s="915"/>
      <c r="S23" s="915"/>
      <c r="T23" s="915"/>
      <c r="U23" s="915"/>
      <c r="V23" s="915"/>
      <c r="W23" s="915"/>
      <c r="X23" s="915"/>
      <c r="Y23" s="915"/>
      <c r="Z23" s="915"/>
      <c r="AA23" s="915"/>
      <c r="AB23" s="915"/>
      <c r="AC23" s="915"/>
      <c r="AD23" s="915"/>
      <c r="AE23" s="915"/>
      <c r="AF23" s="915"/>
      <c r="AG23" s="915"/>
      <c r="AH23" s="915"/>
      <c r="AI23" s="915"/>
      <c r="AJ23" s="915"/>
      <c r="AK23" s="915"/>
      <c r="AL23" s="915"/>
      <c r="AM23" s="915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</row>
    <row r="24" spans="1:101" ht="20.05" customHeight="1">
      <c r="A24" s="16"/>
      <c r="B24" s="15"/>
      <c r="C24" s="13"/>
      <c r="D24" s="3"/>
      <c r="E24" s="3"/>
      <c r="F24" s="3"/>
      <c r="G24" s="3"/>
      <c r="H24" s="3"/>
      <c r="I24" s="3"/>
      <c r="J24" s="3"/>
      <c r="K24" s="3"/>
      <c r="L24" s="915"/>
      <c r="M24" s="915"/>
      <c r="N24" s="915"/>
      <c r="O24" s="915"/>
      <c r="P24" s="915"/>
      <c r="Q24" s="915"/>
      <c r="R24" s="915"/>
      <c r="S24" s="915"/>
      <c r="T24" s="915"/>
      <c r="U24" s="915"/>
      <c r="V24" s="915"/>
      <c r="W24" s="915"/>
      <c r="X24" s="915"/>
      <c r="Y24" s="915"/>
      <c r="Z24" s="915"/>
      <c r="AA24" s="915"/>
      <c r="AB24" s="915"/>
      <c r="AC24" s="915"/>
      <c r="AD24" s="915"/>
      <c r="AE24" s="915"/>
      <c r="AF24" s="915"/>
      <c r="AG24" s="915"/>
      <c r="AH24" s="915"/>
      <c r="AI24" s="915"/>
      <c r="AJ24" s="915"/>
      <c r="AK24" s="915"/>
      <c r="AL24" s="915"/>
      <c r="AM24" s="915"/>
      <c r="AN24" s="14"/>
      <c r="AO24" s="14"/>
      <c r="AP24" s="14"/>
      <c r="AQ24" s="14"/>
      <c r="AR24" s="14"/>
      <c r="AS24" s="14"/>
      <c r="AT24" s="14"/>
      <c r="AU24" s="14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</row>
    <row r="25" spans="1:101" ht="20.0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915"/>
      <c r="M25" s="915"/>
      <c r="N25" s="915"/>
      <c r="O25" s="915"/>
      <c r="P25" s="915"/>
      <c r="Q25" s="915"/>
      <c r="R25" s="915"/>
      <c r="S25" s="915"/>
      <c r="T25" s="915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915"/>
      <c r="AF25" s="915"/>
      <c r="AG25" s="915"/>
      <c r="AH25" s="915"/>
      <c r="AI25" s="915"/>
      <c r="AJ25" s="915"/>
      <c r="AK25" s="915"/>
      <c r="AL25" s="915"/>
      <c r="AM25" s="91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</row>
    <row r="26" spans="1:101" ht="20.0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915"/>
      <c r="M26" s="915"/>
      <c r="N26" s="915"/>
      <c r="O26" s="915"/>
      <c r="P26" s="915"/>
      <c r="Q26" s="915"/>
      <c r="R26" s="915"/>
      <c r="S26" s="915"/>
      <c r="T26" s="915"/>
      <c r="U26" s="915"/>
      <c r="V26" s="915"/>
      <c r="W26" s="915"/>
      <c r="X26" s="915"/>
      <c r="Y26" s="915"/>
      <c r="Z26" s="915"/>
      <c r="AA26" s="915"/>
      <c r="AB26" s="915"/>
      <c r="AC26" s="915"/>
      <c r="AD26" s="915"/>
      <c r="AE26" s="915"/>
      <c r="AF26" s="915"/>
      <c r="AG26" s="915"/>
      <c r="AH26" s="915"/>
      <c r="AI26" s="915"/>
      <c r="AJ26" s="915"/>
      <c r="AK26" s="915"/>
      <c r="AL26" s="915"/>
      <c r="AM26" s="915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</row>
    <row r="27" spans="1:101" ht="20.0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</row>
    <row r="28" spans="1:101" ht="20.0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</row>
    <row r="29" spans="1:10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</row>
    <row r="30" spans="1:10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</row>
    <row r="31" spans="1:10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</row>
    <row r="32" spans="1:10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</row>
    <row r="33" spans="1:10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</row>
    <row r="34" spans="1:10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</row>
    <row r="35" spans="1:10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</row>
    <row r="36" spans="1:10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</row>
    <row r="37" spans="1:10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</row>
    <row r="38" spans="1:10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</row>
    <row r="39" spans="1:10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</row>
    <row r="40" spans="1:10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</row>
    <row r="41" spans="1:10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</row>
    <row r="42" spans="1:10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</row>
    <row r="43" spans="1:10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</row>
    <row r="44" spans="1:10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</row>
    <row r="45" spans="1:10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</row>
    <row r="46" spans="1:10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</row>
    <row r="47" spans="1:10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</row>
    <row r="48" spans="1:10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</row>
    <row r="49" spans="1:10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</row>
    <row r="50" spans="1:10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</row>
    <row r="51" spans="1:10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</row>
    <row r="52" spans="1:10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</row>
    <row r="53" spans="1:10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</row>
    <row r="54" spans="1:10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</row>
    <row r="55" spans="1:10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</row>
    <row r="56" spans="1:10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</row>
    <row r="57" spans="1:10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</row>
    <row r="58" spans="1:10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</row>
    <row r="59" spans="1:10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</row>
    <row r="60" spans="1:10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</row>
    <row r="61" spans="1:10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</row>
    <row r="62" spans="1:10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</row>
    <row r="63" spans="1:10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</row>
    <row r="64" spans="1:10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</row>
    <row r="65" spans="1:10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</row>
    <row r="66" spans="1:10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</row>
    <row r="67" spans="1:10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</row>
    <row r="68" spans="1:10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</row>
    <row r="69" spans="1:10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</row>
    <row r="70" spans="1:10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</row>
    <row r="71" spans="1:10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</row>
    <row r="72" spans="1:10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</row>
    <row r="73" spans="1:10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</row>
    <row r="74" spans="1:10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</row>
    <row r="75" spans="1:10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</row>
    <row r="76" spans="1:10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</row>
    <row r="77" spans="1:10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</row>
    <row r="78" spans="1:10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</row>
    <row r="79" spans="1:10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</row>
    <row r="80" spans="1:10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</row>
    <row r="81" spans="1:10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</row>
    <row r="82" spans="1:10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</row>
    <row r="83" spans="1:10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</row>
    <row r="84" spans="1:10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</row>
    <row r="85" spans="1:10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</row>
    <row r="86" spans="1:10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</row>
    <row r="87" spans="1:10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</row>
    <row r="88" spans="1:10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</row>
    <row r="89" spans="1:10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</row>
    <row r="90" spans="1:10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</row>
    <row r="91" spans="1:10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</row>
    <row r="92" spans="1:10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</row>
    <row r="93" spans="1:10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</row>
    <row r="94" spans="1:10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</row>
    <row r="95" spans="1:10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</row>
    <row r="96" spans="1:10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</row>
    <row r="97" spans="1:10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</row>
    <row r="98" spans="1:10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</row>
    <row r="99" spans="1:10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</row>
    <row r="100" spans="1:10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</row>
    <row r="101" spans="1: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</row>
    <row r="102" spans="1:10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</row>
    <row r="103" spans="1:10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</row>
    <row r="104" spans="1:10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</row>
    <row r="105" spans="1:10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</row>
    <row r="106" spans="1:10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</row>
    <row r="107" spans="1:10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</row>
    <row r="108" spans="1:10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</row>
    <row r="109" spans="1:10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</row>
    <row r="110" spans="1:10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</row>
    <row r="111" spans="1:10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</row>
    <row r="112" spans="1:10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</row>
    <row r="113" spans="1:10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</row>
    <row r="114" spans="1:10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</row>
    <row r="115" spans="1:10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</row>
    <row r="116" spans="1:10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</row>
    <row r="117" spans="1:10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</row>
    <row r="118" spans="1:10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</row>
    <row r="119" spans="1:10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</row>
    <row r="120" spans="1:10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</row>
    <row r="121" spans="1:10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</row>
    <row r="122" spans="1:10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</row>
    <row r="123" spans="1:10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</row>
    <row r="124" spans="1:10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</row>
    <row r="125" spans="1:10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</row>
    <row r="126" spans="1:10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</row>
    <row r="127" spans="1:10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</row>
    <row r="128" spans="1:10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</row>
    <row r="129" spans="1:10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</row>
    <row r="130" spans="1:10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</row>
    <row r="131" spans="1:10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</row>
    <row r="132" spans="1:10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</row>
    <row r="133" spans="1:10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</row>
    <row r="134" spans="1:10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</row>
    <row r="135" spans="1:10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</row>
    <row r="136" spans="1:10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</row>
    <row r="137" spans="1:10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</row>
    <row r="138" spans="1:10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</row>
    <row r="139" spans="1:10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</row>
    <row r="140" spans="1:10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</row>
    <row r="141" spans="1:10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</row>
    <row r="142" spans="1:10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</row>
    <row r="143" spans="1:10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</row>
    <row r="144" spans="1:10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</row>
    <row r="145" spans="1:10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</row>
    <row r="146" spans="1:10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</row>
    <row r="147" spans="1:10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</row>
    <row r="148" spans="1:10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</row>
    <row r="149" spans="1:10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</row>
    <row r="150" spans="1:10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</row>
    <row r="151" spans="1:10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</row>
    <row r="152" spans="1:10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</row>
    <row r="153" spans="1:10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</row>
    <row r="154" spans="1:10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</row>
    <row r="155" spans="1:10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</row>
    <row r="156" spans="1:10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</row>
    <row r="157" spans="1:10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</row>
    <row r="158" spans="1:10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</row>
    <row r="159" spans="1:10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</row>
    <row r="160" spans="1:10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</row>
    <row r="161" spans="1:10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</row>
    <row r="162" spans="1:10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</row>
    <row r="163" spans="1:10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</row>
    <row r="164" spans="1:10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</row>
    <row r="165" spans="1:10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</row>
    <row r="166" spans="1:10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</row>
    <row r="167" spans="1:10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</row>
    <row r="168" spans="1:10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</row>
    <row r="169" spans="1:10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</row>
    <row r="170" spans="1:10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</row>
    <row r="171" spans="1:10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</row>
    <row r="172" spans="1:10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</row>
    <row r="173" spans="1:10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</row>
    <row r="174" spans="1:10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</row>
    <row r="175" spans="1:10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</row>
    <row r="176" spans="1:10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</row>
    <row r="177" spans="1:10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</row>
    <row r="178" spans="1:10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</row>
    <row r="179" spans="1:10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</row>
    <row r="180" spans="1:10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</row>
    <row r="181" spans="1:10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</row>
    <row r="182" spans="1:10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</row>
    <row r="183" spans="1:10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</row>
    <row r="184" spans="1:10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</row>
    <row r="185" spans="1:10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</row>
    <row r="186" spans="1:10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</row>
    <row r="187" spans="1:10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</row>
    <row r="188" spans="1:10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</row>
    <row r="189" spans="1:10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</row>
    <row r="190" spans="1:10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</row>
    <row r="191" spans="1:10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</row>
    <row r="192" spans="1:10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</row>
    <row r="193" spans="1:10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</row>
    <row r="194" spans="1:10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</row>
    <row r="195" spans="1:10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</row>
    <row r="196" spans="1:10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</row>
    <row r="197" spans="1:10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</row>
    <row r="198" spans="1:10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</row>
    <row r="199" spans="1:101"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</row>
    <row r="200" spans="1:101"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</row>
    <row r="201" spans="1:101"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</row>
    <row r="202" spans="1:101"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</row>
    <row r="203" spans="1:101"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</row>
    <row r="204" spans="1:101"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</row>
    <row r="205" spans="1:101"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</row>
    <row r="206" spans="1:101"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</row>
    <row r="207" spans="1:101"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</row>
  </sheetData>
  <sheetProtection password="CA54" sheet="1" objects="1" scenarios="1"/>
  <mergeCells count="22">
    <mergeCell ref="G7:BB7"/>
    <mergeCell ref="S3:BB5"/>
    <mergeCell ref="B20:E20"/>
    <mergeCell ref="A19:C19"/>
    <mergeCell ref="L12:BB12"/>
    <mergeCell ref="L11:BB11"/>
    <mergeCell ref="L9:BB9"/>
    <mergeCell ref="L15:AB15"/>
    <mergeCell ref="L13:AU13"/>
    <mergeCell ref="L17:AB17"/>
    <mergeCell ref="L18:AO18"/>
    <mergeCell ref="L19:AN19"/>
    <mergeCell ref="L20:AM20"/>
    <mergeCell ref="L10:AU10"/>
    <mergeCell ref="L14:AU14"/>
    <mergeCell ref="L23:AM23"/>
    <mergeCell ref="L24:AM24"/>
    <mergeCell ref="L25:AM25"/>
    <mergeCell ref="L26:AM26"/>
    <mergeCell ref="AX8:BB8"/>
    <mergeCell ref="L21:AM21"/>
    <mergeCell ref="L22:AM22"/>
  </mergeCells>
  <pageMargins left="0.11811023622047245" right="0.15748031496062992" top="0.11811023622047245" bottom="0.19685039370078741" header="0.11811023622047245" footer="0.19685039370078741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FF0000"/>
    <pageSetUpPr fitToPage="1"/>
  </sheetPr>
  <dimension ref="A1:CR677"/>
  <sheetViews>
    <sheetView showGridLines="0" showRowColHeaders="0" zoomScaleNormal="100" workbookViewId="0"/>
  </sheetViews>
  <sheetFormatPr defaultColWidth="9" defaultRowHeight="14.85"/>
  <cols>
    <col min="1" max="1" width="28.28515625" customWidth="1"/>
    <col min="2" max="2" width="7.85546875" customWidth="1"/>
    <col min="3" max="3" width="4.42578125" customWidth="1"/>
    <col min="4" max="4" width="4" customWidth="1"/>
    <col min="5" max="19" width="3.7109375" customWidth="1"/>
    <col min="20" max="37" width="4.7109375" customWidth="1"/>
    <col min="38" max="44" width="3.7109375" customWidth="1"/>
    <col min="45" max="50" width="4.7109375" customWidth="1"/>
    <col min="51" max="51" width="3.7109375" customWidth="1"/>
    <col min="52" max="57" width="4.7109375" customWidth="1"/>
    <col min="58" max="59" width="3.7109375" customWidth="1"/>
    <col min="60" max="60" width="27.28515625" customWidth="1"/>
    <col min="61" max="61" width="13.5703125" bestFit="1" customWidth="1"/>
    <col min="62" max="62" width="33.140625" customWidth="1"/>
  </cols>
  <sheetData>
    <row r="1" spans="1:90" ht="54.75" customHeight="1">
      <c r="A1" s="294" t="s">
        <v>27</v>
      </c>
      <c r="B1" s="1"/>
      <c r="C1" s="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6"/>
      <c r="R1" s="8"/>
      <c r="S1" s="3"/>
      <c r="T1" s="896" t="s">
        <v>32</v>
      </c>
      <c r="U1" s="896"/>
      <c r="V1" s="896"/>
      <c r="W1" s="896"/>
      <c r="X1" s="896"/>
      <c r="Y1" s="896"/>
      <c r="Z1" s="896"/>
      <c r="AA1" s="896"/>
      <c r="AB1" s="896"/>
      <c r="AC1" s="896"/>
      <c r="AD1" s="896"/>
      <c r="AE1" s="896"/>
      <c r="AF1" s="896"/>
      <c r="AG1" s="896"/>
      <c r="AH1" s="896"/>
      <c r="AI1" s="896"/>
      <c r="AJ1" s="896"/>
      <c r="AK1" s="896"/>
      <c r="AL1" s="896"/>
      <c r="AM1" s="896"/>
      <c r="AN1" s="896"/>
      <c r="AO1" s="896"/>
      <c r="AP1" s="896"/>
      <c r="AQ1" s="896"/>
      <c r="AR1" s="102"/>
      <c r="AS1" s="102"/>
      <c r="AT1" s="102"/>
      <c r="AU1" s="102"/>
      <c r="AV1" s="102"/>
      <c r="AW1" s="102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</row>
    <row r="2" spans="1:90" ht="39.9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3"/>
      <c r="S2" s="75"/>
      <c r="T2" s="900" t="str">
        <f>IF($I$27="",$I$25,$I$27)</f>
        <v>VUL  A L L E  BESTELGEGEVENS IN</v>
      </c>
      <c r="U2" s="901"/>
      <c r="V2" s="901"/>
      <c r="W2" s="901"/>
      <c r="X2" s="901"/>
      <c r="Y2" s="901"/>
      <c r="Z2" s="901"/>
      <c r="AA2" s="901"/>
      <c r="AB2" s="901"/>
      <c r="AC2" s="901"/>
      <c r="AD2" s="901"/>
      <c r="AE2" s="901"/>
      <c r="AF2" s="901"/>
      <c r="AG2" s="901"/>
      <c r="AH2" s="901"/>
      <c r="AI2" s="901"/>
      <c r="AJ2" s="901"/>
      <c r="AK2" s="901"/>
      <c r="AL2" s="901"/>
      <c r="AM2" s="901"/>
      <c r="AN2" s="901"/>
      <c r="AO2" s="901"/>
      <c r="AP2" s="901"/>
      <c r="AQ2" s="902"/>
      <c r="AR2" s="102"/>
      <c r="AS2" s="102"/>
      <c r="AT2" s="102"/>
      <c r="AU2" s="102"/>
      <c r="AV2" s="102"/>
      <c r="AW2" s="102"/>
      <c r="AX2" s="61"/>
      <c r="AY2" s="61"/>
      <c r="AZ2" s="61"/>
      <c r="BA2" s="61"/>
      <c r="BB2" s="61"/>
      <c r="BC2" s="61"/>
      <c r="BD2" s="61"/>
      <c r="BE2" s="65"/>
      <c r="BF2" s="65"/>
      <c r="BG2" s="65"/>
      <c r="BH2" s="65"/>
      <c r="BI2" s="65"/>
      <c r="BJ2" s="65" t="s">
        <v>702</v>
      </c>
      <c r="BK2" s="65"/>
      <c r="BL2" s="65"/>
      <c r="BM2" s="65"/>
      <c r="BN2" s="65"/>
      <c r="BO2" s="65"/>
      <c r="BP2" s="65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</row>
    <row r="3" spans="1:90" ht="21.9" customHeight="1">
      <c r="A3" s="1"/>
      <c r="B3" s="1"/>
      <c r="C3" s="34"/>
      <c r="D3" s="34"/>
      <c r="E3" s="34"/>
      <c r="F3" s="34"/>
      <c r="G3" s="34"/>
      <c r="H3" s="34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1"/>
      <c r="T3" s="897" t="s">
        <v>90</v>
      </c>
      <c r="U3" s="898"/>
      <c r="V3" s="898"/>
      <c r="W3" s="898"/>
      <c r="X3" s="898"/>
      <c r="Y3" s="898"/>
      <c r="Z3" s="898"/>
      <c r="AA3" s="898"/>
      <c r="AB3" s="898"/>
      <c r="AC3" s="898"/>
      <c r="AD3" s="898"/>
      <c r="AE3" s="898"/>
      <c r="AF3" s="898"/>
      <c r="AG3" s="898"/>
      <c r="AH3" s="898"/>
      <c r="AI3" s="899"/>
      <c r="AJ3" s="73"/>
      <c r="AK3" s="73"/>
      <c r="AL3" s="73"/>
      <c r="AM3" s="73"/>
      <c r="AN3" s="73"/>
      <c r="AO3" s="73"/>
      <c r="AP3" s="73"/>
      <c r="AQ3" s="73"/>
      <c r="AR3" s="25"/>
      <c r="AS3" s="25"/>
      <c r="AT3" s="25"/>
      <c r="AU3" s="25"/>
      <c r="AV3" s="103"/>
      <c r="AW3" s="104"/>
      <c r="AX3" s="104"/>
      <c r="AY3" s="104"/>
      <c r="AZ3" s="104"/>
      <c r="BA3" s="104"/>
      <c r="BB3" s="104"/>
      <c r="BC3" s="26"/>
      <c r="BD3" s="26"/>
      <c r="BE3" s="85"/>
      <c r="BF3" s="65"/>
      <c r="BG3" s="65"/>
      <c r="BH3" s="65"/>
      <c r="BI3" s="83">
        <f>IF($T$3="naam",1,0)</f>
        <v>1</v>
      </c>
      <c r="BJ3" s="572" t="s">
        <v>708</v>
      </c>
      <c r="BK3" s="570"/>
      <c r="BL3" s="98"/>
      <c r="BM3" s="98"/>
      <c r="BN3" s="98"/>
      <c r="BO3" s="65"/>
      <c r="BP3" s="65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</row>
    <row r="4" spans="1:90" ht="21.9" customHeight="1">
      <c r="A4" s="1"/>
      <c r="B4" s="1"/>
      <c r="C4" s="35"/>
      <c r="D4" s="35"/>
      <c r="E4" s="35"/>
      <c r="F4" s="35"/>
      <c r="G4" s="35"/>
      <c r="H4" s="35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1"/>
      <c r="T4" s="839" t="s">
        <v>82</v>
      </c>
      <c r="U4" s="840"/>
      <c r="V4" s="840"/>
      <c r="W4" s="840"/>
      <c r="X4" s="840"/>
      <c r="Y4" s="840"/>
      <c r="Z4" s="840"/>
      <c r="AA4" s="840"/>
      <c r="AB4" s="840"/>
      <c r="AC4" s="840"/>
      <c r="AD4" s="840"/>
      <c r="AE4" s="840"/>
      <c r="AF4" s="840"/>
      <c r="AG4" s="840"/>
      <c r="AH4" s="840"/>
      <c r="AI4" s="841"/>
      <c r="AJ4" s="73"/>
      <c r="AK4" s="73"/>
      <c r="AL4" s="73"/>
      <c r="AM4" s="73"/>
      <c r="AN4" s="73"/>
      <c r="AO4" s="73"/>
      <c r="AP4" s="73"/>
      <c r="AQ4" s="73"/>
      <c r="AR4" s="25"/>
      <c r="AS4" s="25"/>
      <c r="AT4" s="25"/>
      <c r="AU4" s="25"/>
      <c r="AV4" s="103"/>
      <c r="AW4" s="105"/>
      <c r="AX4" s="105"/>
      <c r="AY4" s="105"/>
      <c r="AZ4" s="105"/>
      <c r="BA4" s="105"/>
      <c r="BB4" s="105"/>
      <c r="BC4" s="26"/>
      <c r="BD4" s="26"/>
      <c r="BE4" s="85"/>
      <c r="BF4" s="65"/>
      <c r="BG4" s="65"/>
      <c r="BH4" s="65"/>
      <c r="BI4" s="83">
        <f>IF($T$4="woonadres",1,0)</f>
        <v>1</v>
      </c>
      <c r="BJ4" s="572" t="s">
        <v>705</v>
      </c>
      <c r="BK4" s="570"/>
      <c r="BL4" s="828"/>
      <c r="BM4" s="828"/>
      <c r="BN4" s="828"/>
      <c r="BO4" s="65"/>
      <c r="BP4" s="65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</row>
    <row r="5" spans="1:90" ht="21.9" customHeight="1">
      <c r="A5" s="1"/>
      <c r="B5" s="72"/>
      <c r="C5" s="34"/>
      <c r="D5" s="34"/>
      <c r="E5" s="34"/>
      <c r="F5" s="34"/>
      <c r="G5" s="34"/>
      <c r="H5" s="34"/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1"/>
      <c r="T5" s="839" t="s">
        <v>858</v>
      </c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1"/>
      <c r="AJ5" s="73"/>
      <c r="AK5" s="73"/>
      <c r="AL5" s="73"/>
      <c r="AM5" s="73"/>
      <c r="AN5" s="73"/>
      <c r="AO5" s="73"/>
      <c r="AP5" s="73"/>
      <c r="AQ5" s="73"/>
      <c r="AR5" s="25"/>
      <c r="AS5" s="25"/>
      <c r="AT5" s="25"/>
      <c r="AU5" s="25"/>
      <c r="AV5" s="103"/>
      <c r="AW5" s="104"/>
      <c r="AX5" s="104"/>
      <c r="AY5" s="104"/>
      <c r="AZ5" s="104"/>
      <c r="BA5" s="104"/>
      <c r="BB5" s="104"/>
      <c r="BC5" s="26"/>
      <c r="BD5" s="26"/>
      <c r="BE5" s="85"/>
      <c r="BF5" s="65"/>
      <c r="BG5" s="65"/>
      <c r="BH5" s="65"/>
      <c r="BI5" s="83">
        <f>IF($T$5="postcode + woonplaats",1,0)</f>
        <v>1</v>
      </c>
      <c r="BJ5" s="572" t="s">
        <v>686</v>
      </c>
      <c r="BK5" s="570"/>
      <c r="BL5" s="98"/>
      <c r="BM5" s="98"/>
      <c r="BN5" s="98"/>
      <c r="BO5" s="65"/>
      <c r="BP5" s="65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</row>
    <row r="6" spans="1:90" ht="21.9" customHeight="1">
      <c r="A6" s="1"/>
      <c r="B6" s="72"/>
      <c r="C6" s="34"/>
      <c r="D6" s="34"/>
      <c r="E6" s="34"/>
      <c r="F6" s="34"/>
      <c r="G6" s="34"/>
      <c r="H6" s="34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1"/>
      <c r="T6" s="903" t="s">
        <v>86</v>
      </c>
      <c r="U6" s="904"/>
      <c r="V6" s="904"/>
      <c r="W6" s="904"/>
      <c r="X6" s="904"/>
      <c r="Y6" s="904"/>
      <c r="Z6" s="904"/>
      <c r="AA6" s="904"/>
      <c r="AB6" s="904"/>
      <c r="AC6" s="905"/>
      <c r="AD6" s="79"/>
      <c r="AE6" s="80" t="str">
        <f>IF(OR($T$6="",$T$6="maak keuze datum levering"),"",TEXT($T$6,"ddddd"))</f>
        <v/>
      </c>
      <c r="AF6" s="80"/>
      <c r="AG6" s="80" t="str">
        <f>IF(OR(LEFT($AE$6,2)="di",LEFT($AE$6,2)="Tu"),"dinsdag","")</f>
        <v/>
      </c>
      <c r="AH6" s="80" t="str">
        <f>IF(OR(LEFT($AE$6,2)="wo",LEFT($AE$6,2)="we"),"woensdag","")</f>
        <v/>
      </c>
      <c r="AI6" s="80" t="str">
        <f>IF(OR(LEFT($AE$6,2)="do",LEFT($AE$6,2)="Th"),"donderdag","")</f>
        <v/>
      </c>
      <c r="AJ6" s="80" t="str">
        <f>IF(OR(LEFT($AE$6,2)="vr",LEFT($AE$6,2)="fr"),"vrijdag","")</f>
        <v/>
      </c>
      <c r="AK6" s="80" t="str">
        <f>IF(OR(LEFT($AE$6,2)="za",LEFT($AE$6,2)="sa"),"zaterdag","")</f>
        <v/>
      </c>
      <c r="AL6" s="80" t="str">
        <f>IF(OR(LEFT($AE$6,2)="zo",LEFT($AE$6,2)="su"),"zondag","")</f>
        <v/>
      </c>
      <c r="AM6" s="569"/>
      <c r="AN6" s="569"/>
      <c r="AO6" s="569"/>
      <c r="AP6" s="569"/>
      <c r="AQ6" s="92"/>
      <c r="AR6" s="83"/>
      <c r="AS6" s="83"/>
      <c r="AT6" s="83"/>
      <c r="AU6" s="83"/>
      <c r="AV6" s="570"/>
      <c r="AW6" s="98"/>
      <c r="AX6" s="98"/>
      <c r="AY6" s="104"/>
      <c r="AZ6" s="104"/>
      <c r="BA6" s="104"/>
      <c r="BB6" s="104"/>
      <c r="BC6" s="26"/>
      <c r="BD6" s="26"/>
      <c r="BE6" s="85"/>
      <c r="BF6" s="65"/>
      <c r="BG6" s="65"/>
      <c r="BH6" s="65"/>
      <c r="BI6" s="83">
        <f>IF($T$6="maak keuze Datum levering",1,0)</f>
        <v>1</v>
      </c>
      <c r="BJ6" s="572" t="s">
        <v>687</v>
      </c>
      <c r="BK6" s="570"/>
      <c r="BL6" s="98"/>
      <c r="BM6" s="98"/>
      <c r="BN6" s="98"/>
      <c r="BO6" s="65"/>
      <c r="BP6" s="65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</row>
    <row r="7" spans="1:90" ht="21.9" customHeight="1">
      <c r="A7" s="1"/>
      <c r="B7" s="72"/>
      <c r="C7" s="36"/>
      <c r="D7" s="36"/>
      <c r="E7" s="36"/>
      <c r="F7" s="36"/>
      <c r="G7" s="36"/>
      <c r="H7" s="36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1"/>
      <c r="T7" s="839" t="s">
        <v>88</v>
      </c>
      <c r="U7" s="840"/>
      <c r="V7" s="840"/>
      <c r="W7" s="840"/>
      <c r="X7" s="840"/>
      <c r="Y7" s="840"/>
      <c r="Z7" s="840"/>
      <c r="AA7" s="840"/>
      <c r="AB7" s="840"/>
      <c r="AC7" s="841"/>
      <c r="AD7" s="402"/>
      <c r="AE7" s="80" t="str">
        <f>CONCATENATE(AG6,AH6,AI6,AJ6,AK6,AL6)</f>
        <v/>
      </c>
      <c r="AF7" s="912" t="s">
        <v>859</v>
      </c>
      <c r="AG7" s="913"/>
      <c r="AH7" s="913"/>
      <c r="AI7" s="913"/>
      <c r="AJ7" s="913"/>
      <c r="AK7" s="913"/>
      <c r="AL7" s="913"/>
      <c r="AM7" s="913"/>
      <c r="AN7" s="913"/>
      <c r="AO7" s="913"/>
      <c r="AP7" s="913"/>
      <c r="AQ7" s="914"/>
      <c r="AR7" s="83"/>
      <c r="AS7" s="83"/>
      <c r="AT7" s="83"/>
      <c r="AU7" s="83"/>
      <c r="AV7" s="570"/>
      <c r="AW7" s="98"/>
      <c r="AX7" s="98"/>
      <c r="AY7" s="104"/>
      <c r="AZ7" s="104"/>
      <c r="BA7" s="104"/>
      <c r="BB7" s="104"/>
      <c r="BC7" s="26"/>
      <c r="BD7" s="85"/>
      <c r="BE7" s="85"/>
      <c r="BF7" s="65"/>
      <c r="BG7" s="65"/>
      <c r="BH7" s="575">
        <f>IF($T$7="maak keuze afhalen of bezorgen",1,0)</f>
        <v>1</v>
      </c>
      <c r="BI7" s="83">
        <f>IF($AF$7="maak keuze speciale gelegenheid",1,0)</f>
        <v>1</v>
      </c>
      <c r="BJ7" s="572" t="s">
        <v>688</v>
      </c>
      <c r="BK7" s="570"/>
      <c r="BL7" s="98"/>
      <c r="BM7" s="98"/>
      <c r="BN7" s="98"/>
      <c r="BO7" s="65"/>
      <c r="BP7" s="65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</row>
    <row r="8" spans="1:90" ht="21.9" customHeight="1">
      <c r="A8" s="59"/>
      <c r="B8" s="72"/>
      <c r="C8" s="58"/>
      <c r="D8" s="58"/>
      <c r="E8" s="58"/>
      <c r="F8" s="58"/>
      <c r="G8" s="58"/>
      <c r="H8" s="58"/>
      <c r="I8" s="836"/>
      <c r="J8" s="836"/>
      <c r="K8" s="836"/>
      <c r="L8" s="836"/>
      <c r="M8" s="836"/>
      <c r="N8" s="836"/>
      <c r="O8" s="836"/>
      <c r="P8" s="836"/>
      <c r="Q8" s="836"/>
      <c r="R8" s="836"/>
      <c r="S8" s="836"/>
      <c r="T8" s="837" t="str">
        <f>IF(OR($T$7="afhalen",$T$7="Maak Keuze afhalen of bezorgen"),"","Vul Bezorgadres in")</f>
        <v/>
      </c>
      <c r="U8" s="838"/>
      <c r="V8" s="838"/>
      <c r="W8" s="838"/>
      <c r="X8" s="838"/>
      <c r="Y8" s="838"/>
      <c r="Z8" s="838"/>
      <c r="AA8" s="838"/>
      <c r="AB8" s="838"/>
      <c r="AC8" s="838"/>
      <c r="AD8" s="838"/>
      <c r="AE8" s="906" t="str">
        <f>IF(OR($T$11="ochtend",$T$11="in de namiddag"),"Bezorgkosten","")</f>
        <v/>
      </c>
      <c r="AF8" s="907"/>
      <c r="AG8" s="907"/>
      <c r="AH8" s="907"/>
      <c r="AI8" s="907"/>
      <c r="AJ8" s="908"/>
      <c r="AK8" s="82"/>
      <c r="AL8" s="82"/>
      <c r="AM8" s="82"/>
      <c r="AN8" s="82"/>
      <c r="AO8" s="82"/>
      <c r="AP8" s="82"/>
      <c r="AQ8" s="82"/>
      <c r="AR8" s="25"/>
      <c r="AS8" s="25"/>
      <c r="AT8" s="25"/>
      <c r="AU8" s="25"/>
      <c r="AV8" s="103"/>
      <c r="AW8" s="104"/>
      <c r="AX8" s="98"/>
      <c r="AY8" s="98"/>
      <c r="AZ8" s="98"/>
      <c r="BA8" s="98"/>
      <c r="BB8" s="98"/>
      <c r="BC8" s="85"/>
      <c r="BD8" s="85"/>
      <c r="BE8" s="85"/>
      <c r="BF8" s="65"/>
      <c r="BG8" s="65"/>
      <c r="BH8" s="65"/>
      <c r="BI8" s="83">
        <f>IF(AND($T$8="",$T$7="bezorgen"),1,0)</f>
        <v>0</v>
      </c>
      <c r="BJ8" s="572" t="s">
        <v>689</v>
      </c>
      <c r="BK8" s="570"/>
      <c r="BL8" s="98"/>
      <c r="BM8" s="98"/>
      <c r="BN8" s="98"/>
      <c r="BO8" s="65"/>
      <c r="BP8" s="65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</row>
    <row r="9" spans="1:90" ht="21.9" customHeight="1">
      <c r="A9" s="59"/>
      <c r="B9" s="72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34"/>
      <c r="P9" s="34"/>
      <c r="Q9" s="34"/>
      <c r="R9" s="34"/>
      <c r="S9" s="34"/>
      <c r="T9" s="837" t="str">
        <f>IF(OR($T$7="afhalen",$T$7="Maak Keuze afhalen of bezorgen"),"","Vul plaats bezorgen in")</f>
        <v/>
      </c>
      <c r="U9" s="838"/>
      <c r="V9" s="838"/>
      <c r="W9" s="838"/>
      <c r="X9" s="838"/>
      <c r="Y9" s="838"/>
      <c r="Z9" s="838"/>
      <c r="AA9" s="838"/>
      <c r="AB9" s="838"/>
      <c r="AC9" s="838"/>
      <c r="AD9" s="838"/>
      <c r="AE9" s="909" t="str">
        <f>IF(OR(T7="afhalen",T7="Maak keuze afhalen of bezorgen",T11="kies bezorgtijd",T8="Vul bezorgadres in",T9="vul plaats bezorgen in",T10="km's bezorgadres-Voltastraat"),"",SUM(AK9:AL9))</f>
        <v/>
      </c>
      <c r="AF9" s="910"/>
      <c r="AG9" s="910"/>
      <c r="AH9" s="910"/>
      <c r="AI9" s="910"/>
      <c r="AJ9" s="911"/>
      <c r="AK9" s="94" t="str">
        <f>IF(AND($T$10&gt;6,$T$10&lt;20),$T$10*1.25,"")</f>
        <v/>
      </c>
      <c r="AL9" s="95" t="str">
        <f>IF(AND($T$10&gt;=0,$T$10&lt;7),7.5,"")</f>
        <v/>
      </c>
      <c r="AM9" s="95">
        <f>IF(T7="afhalen",0,SUM(AK9:AL9))</f>
        <v>0</v>
      </c>
      <c r="AN9" s="92"/>
      <c r="AO9" s="92"/>
      <c r="AP9" s="93"/>
      <c r="AQ9" s="93"/>
      <c r="AR9" s="25"/>
      <c r="AS9" s="25"/>
      <c r="AT9" s="25"/>
      <c r="AU9" s="25"/>
      <c r="AV9" s="103"/>
      <c r="AW9" s="98"/>
      <c r="AX9" s="98"/>
      <c r="AY9" s="98"/>
      <c r="AZ9" s="98"/>
      <c r="BA9" s="98"/>
      <c r="BB9" s="98"/>
      <c r="BC9" s="85"/>
      <c r="BD9" s="85"/>
      <c r="BE9" s="85"/>
      <c r="BF9" s="65"/>
      <c r="BG9" s="65"/>
      <c r="BH9" s="65"/>
      <c r="BI9" s="83"/>
      <c r="BJ9" s="572" t="s">
        <v>690</v>
      </c>
      <c r="BK9" s="570"/>
      <c r="BL9" s="98"/>
      <c r="BM9" s="98"/>
      <c r="BN9" s="98"/>
      <c r="BO9" s="65"/>
      <c r="BP9" s="65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</row>
    <row r="10" spans="1:90" ht="21.9" customHeight="1">
      <c r="A10" s="546"/>
      <c r="B10" s="58"/>
      <c r="C10" s="58"/>
      <c r="D10" s="58"/>
      <c r="E10" s="58"/>
      <c r="F10" s="58" t="s">
        <v>27</v>
      </c>
      <c r="G10" s="58"/>
      <c r="H10" s="58"/>
      <c r="I10" s="833"/>
      <c r="J10" s="834"/>
      <c r="K10" s="834"/>
      <c r="L10" s="834"/>
      <c r="M10" s="834"/>
      <c r="N10" s="834"/>
      <c r="O10" s="834"/>
      <c r="P10" s="834"/>
      <c r="Q10" s="834"/>
      <c r="R10" s="834"/>
      <c r="S10" s="835"/>
      <c r="T10" s="888" t="str">
        <f>IF(OR($T$9="vul plaats bezorgen in",$T$9=""),"","Km's Bezorgadres-Voltastraat")</f>
        <v/>
      </c>
      <c r="U10" s="889"/>
      <c r="V10" s="889"/>
      <c r="W10" s="889"/>
      <c r="X10" s="889"/>
      <c r="Y10" s="889"/>
      <c r="Z10" s="889"/>
      <c r="AA10" s="890"/>
      <c r="AB10" s="76"/>
      <c r="AC10" s="76"/>
      <c r="AD10" s="76"/>
      <c r="AE10" s="891" t="str">
        <f>IF(OR(T10&lt;20,T10="km's bezorgadres-Voltastraat",T7="Maak keuze afhalen of bezorgen",T7="afhalen",T8="vul bezorgadres in", T9="vul plaats bezorgen in",T10="km's bezorgadres-Voltastraat",T11="kies bezorgtijd"),"","op aanvraag")</f>
        <v/>
      </c>
      <c r="AF10" s="892"/>
      <c r="AG10" s="892"/>
      <c r="AH10" s="892"/>
      <c r="AI10" s="892"/>
      <c r="AJ10" s="893"/>
      <c r="AK10" s="68"/>
      <c r="AL10" s="68"/>
      <c r="AM10" s="68"/>
      <c r="AN10" s="68"/>
      <c r="AO10" s="68"/>
      <c r="AP10" s="68"/>
      <c r="AQ10" s="68"/>
      <c r="AR10" s="872"/>
      <c r="AS10" s="872"/>
      <c r="AT10" s="872"/>
      <c r="AU10" s="872"/>
      <c r="AV10" s="872"/>
      <c r="AW10" s="99"/>
      <c r="AX10" s="99"/>
      <c r="AY10" s="99"/>
      <c r="AZ10" s="99"/>
      <c r="BA10" s="99"/>
      <c r="BB10" s="70" t="str">
        <f>IF(AND($Y$11="dinsdag",$T$11="ochtend"),"11:00-11:45 uur","")</f>
        <v/>
      </c>
      <c r="BC10" s="70" t="str">
        <f>IF(AND($Y$11="woensdag",$T$11="ochtend"),"11:00-11:45 uur","")</f>
        <v/>
      </c>
      <c r="BD10" s="70" t="str">
        <f>IF(AND($Y$11="donderdag",$T$11="ochtend"),"11:00-11:45 uur","")</f>
        <v/>
      </c>
      <c r="BE10" s="70" t="str">
        <f>IF(AND($Y$11="vrijdag",$T$11="ochtend"),"11:00-11:45 uur","")</f>
        <v/>
      </c>
      <c r="BF10" s="70" t="str">
        <f>IF(AND($Y$11="zaterdag",$T$11="ochtend"),"11:00-11:45 uur","")</f>
        <v/>
      </c>
      <c r="BG10" s="70" t="str">
        <f>IF(AND($Y$11="zondag",$T$11="ochtend"),"11.00-12.00 uur","")</f>
        <v/>
      </c>
      <c r="BH10" s="84"/>
      <c r="BI10" s="83">
        <f>IF(AND($I$10="vul km's bezorgadres-Voltastraat in",$W$10=""),1,0)</f>
        <v>0</v>
      </c>
      <c r="BJ10" s="572" t="s">
        <v>691</v>
      </c>
      <c r="BK10" s="570"/>
      <c r="BL10" s="98"/>
      <c r="BM10" s="98"/>
      <c r="BN10" s="98"/>
      <c r="BO10" s="65"/>
      <c r="BP10" s="65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</row>
    <row r="11" spans="1:90" ht="21.9" customHeight="1">
      <c r="A11" s="60"/>
      <c r="B11" s="60"/>
      <c r="C11" s="60"/>
      <c r="D11" s="60"/>
      <c r="E11" s="60"/>
      <c r="F11" s="60"/>
      <c r="G11" s="60"/>
      <c r="H11" s="60"/>
      <c r="I11" s="842" t="str">
        <f>IF(OR(T11="kies bezorgtijd",T11=" in de namiddag"),"",T11)</f>
        <v/>
      </c>
      <c r="J11" s="842"/>
      <c r="K11" s="842"/>
      <c r="L11" s="842"/>
      <c r="M11" s="842"/>
      <c r="N11" s="842"/>
      <c r="O11" s="842"/>
      <c r="P11" s="842"/>
      <c r="Q11" s="842"/>
      <c r="R11" s="842"/>
      <c r="S11" s="843"/>
      <c r="T11" s="876" t="str">
        <f>IF(OR($T$10="km's bezorgadres-Voltastraat",$T$10=""),"","KIES Bezorgtijd")</f>
        <v/>
      </c>
      <c r="U11" s="877"/>
      <c r="V11" s="877"/>
      <c r="W11" s="877"/>
      <c r="X11" s="878"/>
      <c r="Y11" s="879" t="str">
        <f>IF(OR($T$11="ochtend",$T$11="in de namiddag"),$AE$7,"")</f>
        <v/>
      </c>
      <c r="Z11" s="880"/>
      <c r="AA11" s="881"/>
      <c r="AB11" s="886" t="str">
        <f>IF($T$7="afhalen","",CONCATENATE($BB$11,$BC$11,$BD$11,$BE$11,$BF$11,$BG$11,$BB$10,$BC$10,$BD$10,$BE$10,$BF$10,$BG$10))</f>
        <v/>
      </c>
      <c r="AC11" s="887"/>
      <c r="AD11" s="887"/>
      <c r="AE11" s="887"/>
      <c r="AF11" s="887"/>
      <c r="AG11" s="887"/>
      <c r="AH11" s="887"/>
      <c r="AI11" s="887"/>
      <c r="AJ11" s="887"/>
      <c r="AK11" s="887"/>
      <c r="AL11" s="887"/>
      <c r="AM11" s="887"/>
      <c r="AN11" s="887"/>
      <c r="AO11" s="887"/>
      <c r="AP11" s="887"/>
      <c r="AQ11" s="887"/>
      <c r="AR11" s="887"/>
      <c r="AS11" s="887"/>
      <c r="AT11" s="887"/>
      <c r="AU11" s="887"/>
      <c r="AV11" s="887"/>
      <c r="AW11" s="83"/>
      <c r="AX11" s="83"/>
      <c r="AY11" s="83"/>
      <c r="AZ11" s="99"/>
      <c r="BA11" s="99"/>
      <c r="BB11" s="70" t="str">
        <f>IF(AND($Y$11="dinsdag",$T$11="in de namiddag"),"14:30-15:30 uur","")</f>
        <v/>
      </c>
      <c r="BC11" s="70" t="str">
        <f>IF(AND($Y$11="woensdag",$T$11="in de namiddag"),"16:00-17:00 uur","")</f>
        <v/>
      </c>
      <c r="BD11" s="70" t="str">
        <f>IF(AND($Y$11="donderdag",$T$11="in de namiddag"),"16:00-17:00 uur","")</f>
        <v/>
      </c>
      <c r="BE11" s="70" t="str">
        <f>IF(AND($Y$11="vrijdag",$T$11="in de namiddag"),"16:00-17:00 uur","")</f>
        <v/>
      </c>
      <c r="BF11" s="70" t="str">
        <f>IF(AND($Y$11="zaterdag",$T$11="in de namiddag"),"15:00-16:00 uur","")</f>
        <v/>
      </c>
      <c r="BG11" s="70" t="str">
        <f>IF(AND($Y$11="zondag",$T$11="in de namiddag"),"Geen standaard bezorging op zondagmiddag. WIJZIG BEZORGTIJD!","")</f>
        <v/>
      </c>
      <c r="BH11" s="65"/>
      <c r="BI11" s="83">
        <f>IF(OR($T$11="kies bezorgtijd",AB11="geen standaard bezorging op zondagmiddag. Wijzig bezorgtijd!!"),1,0)</f>
        <v>0</v>
      </c>
      <c r="BJ11" s="572" t="s">
        <v>692</v>
      </c>
      <c r="BK11" s="83"/>
      <c r="BL11" s="83"/>
      <c r="BM11" s="83"/>
      <c r="BN11" s="83"/>
      <c r="BO11" s="65"/>
      <c r="BP11" s="65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</row>
    <row r="12" spans="1:90" ht="21.9" customHeight="1">
      <c r="A12" s="1"/>
      <c r="B12" s="71"/>
      <c r="C12" s="69"/>
      <c r="D12" s="69"/>
      <c r="E12" s="69"/>
      <c r="F12" s="69"/>
      <c r="G12" s="69"/>
      <c r="H12" s="37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81"/>
      <c r="T12" s="876" t="str">
        <f>IF(T7="afhalen"," Kies Afhaaltijd","")</f>
        <v/>
      </c>
      <c r="U12" s="877"/>
      <c r="V12" s="877"/>
      <c r="W12" s="877"/>
      <c r="X12" s="878"/>
      <c r="Y12" s="879" t="str">
        <f>IF(OR($T$12="Ochtend",$T$12="Middag"),$AE$7,"")</f>
        <v/>
      </c>
      <c r="Z12" s="894"/>
      <c r="AA12" s="895"/>
      <c r="AB12" s="886" t="str">
        <f>IF($T$7="bezorgen","",CONCATENATE($BB$12,$BC$12,$BD$12,$BE$12,$BF$12,$BG$12,$BB$13,$BC$13,$BD$13,$BE$13,$BF$13,$BG$13))</f>
        <v/>
      </c>
      <c r="AC12" s="887"/>
      <c r="AD12" s="887"/>
      <c r="AE12" s="887"/>
      <c r="AF12" s="887"/>
      <c r="AG12" s="887"/>
      <c r="AH12" s="887"/>
      <c r="AI12" s="887"/>
      <c r="AJ12" s="887"/>
      <c r="AK12" s="887"/>
      <c r="AL12" s="887"/>
      <c r="AM12" s="887"/>
      <c r="AN12" s="887"/>
      <c r="AO12" s="887"/>
      <c r="AP12" s="887"/>
      <c r="AQ12" s="887"/>
      <c r="AR12" s="887"/>
      <c r="AS12" s="887"/>
      <c r="AT12" s="887"/>
      <c r="AU12" s="887"/>
      <c r="AV12" s="887"/>
      <c r="AW12" s="83"/>
      <c r="AX12" s="70"/>
      <c r="AY12" s="70"/>
      <c r="AZ12" s="70"/>
      <c r="BA12" s="70"/>
      <c r="BB12" s="70" t="str">
        <f>IF(AND($Y$12="dinsdag",$T$12="Ochtend"),"11:30 uur","")</f>
        <v/>
      </c>
      <c r="BC12" s="70" t="str">
        <f>IF(AND($Y$12="woensdag",$T$12="Ochtend"),"11:30 uur","")</f>
        <v/>
      </c>
      <c r="BD12" s="70" t="str">
        <f>IF(AND($Y$12="donderdag",$T$12="Ochtend"),"11:30 uur","")</f>
        <v/>
      </c>
      <c r="BE12" s="70" t="str">
        <f>IF(AND($Y$12="vrijdag",$T$12="Ochtend"),"11:30 uur","")</f>
        <v/>
      </c>
      <c r="BF12" s="70" t="str">
        <f>IF(AND($Y$12="zaterdag",$T$12="Ochtend"),"11:30 uur","")</f>
        <v/>
      </c>
      <c r="BG12" s="70" t="str">
        <f>IF(AND($Y$12="zondag",$T$12="Ochtend"),"11:00 uur  precies","")</f>
        <v/>
      </c>
      <c r="BH12" s="100"/>
      <c r="BI12" s="83">
        <f>IF(AND(T12="",$T$11=""),1,0)</f>
        <v>1</v>
      </c>
      <c r="BJ12" s="572" t="s">
        <v>704</v>
      </c>
      <c r="BK12" s="83"/>
      <c r="BL12" s="83"/>
      <c r="BM12" s="83"/>
      <c r="BN12" s="83"/>
      <c r="BO12" s="65"/>
      <c r="BP12" s="65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</row>
    <row r="13" spans="1:90" ht="20.05" customHeight="1">
      <c r="A13" s="1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885" t="str">
        <f>IF(OR($T$11="11:00 - 12:00 uur",$T$11="in de namiddag",$T$12="Ochtend",$T$12="middag"),"Vanwege organisatorische redenen hebben wij VASTE afhaal- en bezorgtijden.","")</f>
        <v/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885"/>
      <c r="AF13" s="885"/>
      <c r="AG13" s="885"/>
      <c r="AH13" s="885"/>
      <c r="AI13" s="885"/>
      <c r="AJ13" s="885"/>
      <c r="AK13" s="885"/>
      <c r="AL13" s="885"/>
      <c r="AM13" s="885"/>
      <c r="AN13" s="885"/>
      <c r="AO13" s="885"/>
      <c r="AP13" s="885"/>
      <c r="AQ13" s="885"/>
      <c r="AR13" s="25"/>
      <c r="AS13" s="25"/>
      <c r="AT13" s="47"/>
      <c r="AU13" s="47"/>
      <c r="AV13" s="47"/>
      <c r="AW13" s="84"/>
      <c r="AX13" s="84"/>
      <c r="AY13" s="84"/>
      <c r="AZ13" s="84"/>
      <c r="BA13" s="84"/>
      <c r="BB13" s="70" t="str">
        <f>IF(AND($Y$12="dinsdag",$T$12="Middag"),"14:00 uur","")</f>
        <v/>
      </c>
      <c r="BC13" s="70" t="str">
        <f>IF(AND($Y$12="woensdag",$T$12="Middag"),"15:30 uur","")</f>
        <v/>
      </c>
      <c r="BD13" s="70" t="str">
        <f>IF(AND($Y$12="donderdag",$T$12="Middag"),"15:30 uur","")</f>
        <v/>
      </c>
      <c r="BE13" s="70" t="str">
        <f>IF(AND($Y$12="vrijdag",$T$12="Middag"),"15:30 uur","")</f>
        <v/>
      </c>
      <c r="BF13" s="70" t="str">
        <f>IF(AND($Y$12="zaterdag",$T$12="Middag"),"13:00 uur","")</f>
        <v/>
      </c>
      <c r="BG13" s="70" t="str">
        <f>IF(AND($Y$12="zondag",$T$12="Middag"),"Geen standaard afhaling op zondagmiddag. KIES 'Ochtend'!","")</f>
        <v/>
      </c>
      <c r="BH13" s="84"/>
      <c r="BI13" s="84"/>
      <c r="BJ13" s="572" t="s">
        <v>693</v>
      </c>
      <c r="BK13" s="84"/>
      <c r="BL13" s="84"/>
      <c r="BM13" s="84"/>
      <c r="BN13" s="84"/>
      <c r="BO13" s="65"/>
      <c r="BP13" s="65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</row>
    <row r="14" spans="1:90" ht="20.05" customHeight="1">
      <c r="A14" s="1"/>
      <c r="B14" s="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844" t="str">
        <f>IF(OR($T$11="11:00 - 12:00 uur",$T$11="in de namiddag",$T$12="Ochtend",$T$12="middag"),"Wilt u een andere tijd? Bel ons dan.","")</f>
        <v/>
      </c>
      <c r="U14" s="844"/>
      <c r="V14" s="844"/>
      <c r="W14" s="844"/>
      <c r="X14" s="844"/>
      <c r="Y14" s="844"/>
      <c r="Z14" s="844"/>
      <c r="AA14" s="844"/>
      <c r="AB14" s="844"/>
      <c r="AC14" s="844"/>
      <c r="AD14" s="829" t="str">
        <f>IF(OR($T$11="11:00 - 12:00 uur",$T$11="in de namiddag",$T$12="Ochtend",$T$12="middag"),"Maar wijzigingen kunnen kostenverhogend zijn!","")</f>
        <v/>
      </c>
      <c r="AE14" s="829"/>
      <c r="AF14" s="829"/>
      <c r="AG14" s="829"/>
      <c r="AH14" s="829"/>
      <c r="AI14" s="829"/>
      <c r="AJ14" s="829"/>
      <c r="AK14" s="829"/>
      <c r="AL14" s="829"/>
      <c r="AM14" s="829"/>
      <c r="AN14" s="829"/>
      <c r="AO14" s="829"/>
      <c r="AP14" s="829"/>
      <c r="AQ14" s="829"/>
      <c r="AR14" s="25"/>
      <c r="AS14" s="25"/>
      <c r="AT14" s="47"/>
      <c r="AU14" s="47"/>
      <c r="AV14" s="47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572" t="s">
        <v>694</v>
      </c>
      <c r="BK14" s="84"/>
      <c r="BL14" s="84"/>
      <c r="BM14" s="84"/>
      <c r="BN14" s="84"/>
      <c r="BO14" s="65"/>
      <c r="BP14" s="65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</row>
    <row r="15" spans="1:90" ht="21.9" customHeight="1">
      <c r="A15" s="1"/>
      <c r="B15" s="1"/>
      <c r="C15" s="24"/>
      <c r="D15" s="24"/>
      <c r="E15" s="24"/>
      <c r="F15" s="24"/>
      <c r="G15" s="24"/>
      <c r="H15" s="24"/>
      <c r="I15" s="842" t="str">
        <f>IF(SUM($BI$11:$BI$12)=0,"Telefoon","")</f>
        <v/>
      </c>
      <c r="J15" s="842"/>
      <c r="K15" s="842"/>
      <c r="L15" s="842"/>
      <c r="M15" s="842"/>
      <c r="N15" s="842"/>
      <c r="O15" s="842"/>
      <c r="P15" s="842"/>
      <c r="Q15" s="842"/>
      <c r="R15" s="842"/>
      <c r="S15" s="843"/>
      <c r="T15" s="873" t="s">
        <v>425</v>
      </c>
      <c r="U15" s="873"/>
      <c r="V15" s="873"/>
      <c r="W15" s="873"/>
      <c r="X15" s="873"/>
      <c r="Y15" s="873"/>
      <c r="Z15" s="873"/>
      <c r="AA15" s="873"/>
      <c r="AB15" s="873"/>
      <c r="AC15" s="873"/>
      <c r="AD15" s="874"/>
      <c r="AE15" s="882"/>
      <c r="AF15" s="883"/>
      <c r="AG15" s="883"/>
      <c r="AH15" s="883"/>
      <c r="AI15" s="883"/>
      <c r="AJ15" s="883"/>
      <c r="AK15" s="883"/>
      <c r="AL15" s="883"/>
      <c r="AM15" s="883"/>
      <c r="AN15" s="883"/>
      <c r="AO15" s="883"/>
      <c r="AP15" s="883"/>
      <c r="AQ15" s="883"/>
      <c r="AR15" s="25"/>
      <c r="AS15" s="106"/>
      <c r="AT15" s="107"/>
      <c r="AU15" s="45"/>
      <c r="AV15" s="45"/>
      <c r="AW15" s="545"/>
      <c r="AX15" s="545"/>
      <c r="AY15" s="545"/>
      <c r="AZ15" s="98"/>
      <c r="BA15" s="101"/>
      <c r="BB15" s="101"/>
      <c r="BC15" s="101"/>
      <c r="BD15" s="101"/>
      <c r="BE15" s="101"/>
      <c r="BF15" s="101"/>
      <c r="BG15" s="65"/>
      <c r="BH15" s="65"/>
      <c r="BI15" s="83">
        <f>IF($T$15="telefoon",1,0)</f>
        <v>1</v>
      </c>
      <c r="BJ15" s="572" t="s">
        <v>695</v>
      </c>
      <c r="BK15" s="84"/>
      <c r="BL15" s="84"/>
      <c r="BM15" s="84"/>
      <c r="BN15" s="84"/>
      <c r="BO15" s="65"/>
      <c r="BP15" s="65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</row>
    <row r="16" spans="1:90" ht="21.9" customHeight="1">
      <c r="A16" s="1"/>
      <c r="B16" s="1"/>
      <c r="C16" s="24"/>
      <c r="D16" s="24"/>
      <c r="E16" s="24"/>
      <c r="F16" s="24"/>
      <c r="G16" s="24"/>
      <c r="H16" s="24"/>
      <c r="I16" s="868"/>
      <c r="J16" s="868"/>
      <c r="K16" s="868"/>
      <c r="L16" s="868"/>
      <c r="M16" s="868"/>
      <c r="N16" s="868"/>
      <c r="O16" s="868"/>
      <c r="P16" s="868"/>
      <c r="Q16" s="868"/>
      <c r="R16" s="868"/>
      <c r="S16" s="869"/>
      <c r="T16" s="873" t="s">
        <v>426</v>
      </c>
      <c r="U16" s="873"/>
      <c r="V16" s="873"/>
      <c r="W16" s="873"/>
      <c r="X16" s="873"/>
      <c r="Y16" s="873"/>
      <c r="Z16" s="873"/>
      <c r="AA16" s="873"/>
      <c r="AB16" s="873"/>
      <c r="AC16" s="873"/>
      <c r="AD16" s="874"/>
      <c r="AE16" s="884"/>
      <c r="AF16" s="884"/>
      <c r="AG16" s="884"/>
      <c r="AH16" s="884"/>
      <c r="AI16" s="884"/>
      <c r="AJ16" s="884"/>
      <c r="AK16" s="884"/>
      <c r="AL16" s="884"/>
      <c r="AM16" s="884"/>
      <c r="AN16" s="884"/>
      <c r="AO16" s="884"/>
      <c r="AP16" s="884"/>
      <c r="AQ16" s="884"/>
      <c r="AR16" s="801"/>
      <c r="AS16" s="801"/>
      <c r="AT16" s="25"/>
      <c r="AU16" s="801"/>
      <c r="AV16" s="801"/>
      <c r="AW16" s="96"/>
      <c r="AX16" s="96"/>
      <c r="AY16" s="545"/>
      <c r="AZ16" s="85"/>
      <c r="BA16" s="101"/>
      <c r="BB16" s="101"/>
      <c r="BC16" s="101"/>
      <c r="BD16" s="101"/>
      <c r="BE16" s="101"/>
      <c r="BF16" s="101"/>
      <c r="BG16" s="65"/>
      <c r="BH16" s="65"/>
      <c r="BI16" s="83">
        <f>IF($T$16="e-mail",1,0)</f>
        <v>1</v>
      </c>
      <c r="BJ16" s="572" t="s">
        <v>696</v>
      </c>
      <c r="BK16" s="84"/>
      <c r="BL16" s="84"/>
      <c r="BM16" s="84"/>
      <c r="BN16" s="84"/>
      <c r="BO16" s="65"/>
      <c r="BP16" s="65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</row>
    <row r="17" spans="1:96" ht="21.9" customHeight="1">
      <c r="A17" s="1"/>
      <c r="B17" s="1"/>
      <c r="C17" s="34"/>
      <c r="D17" s="34"/>
      <c r="E17" s="34"/>
      <c r="F17" s="34"/>
      <c r="G17" s="24"/>
      <c r="H17" s="24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53"/>
      <c r="T17" s="862" t="s">
        <v>87</v>
      </c>
      <c r="U17" s="863"/>
      <c r="V17" s="863"/>
      <c r="W17" s="863"/>
      <c r="X17" s="863"/>
      <c r="Y17" s="863"/>
      <c r="Z17" s="863"/>
      <c r="AA17" s="863"/>
      <c r="AB17" s="863"/>
      <c r="AC17" s="863"/>
      <c r="AD17" s="863"/>
      <c r="AE17" s="863"/>
      <c r="AF17" s="863"/>
      <c r="AG17" s="863"/>
      <c r="AH17" s="863"/>
      <c r="AI17" s="863"/>
      <c r="AJ17" s="863"/>
      <c r="AK17" s="863"/>
      <c r="AL17" s="863"/>
      <c r="AM17" s="864"/>
      <c r="AN17" s="77"/>
      <c r="AO17" s="77"/>
      <c r="AP17" s="77"/>
      <c r="AQ17" s="77"/>
      <c r="AR17" s="25"/>
      <c r="AS17" s="25"/>
      <c r="AT17" s="108"/>
      <c r="AU17" s="45"/>
      <c r="AV17" s="45"/>
      <c r="AW17" s="545"/>
      <c r="AX17" s="545"/>
      <c r="AY17" s="545"/>
      <c r="AZ17" s="98"/>
      <c r="BA17" s="545"/>
      <c r="BB17" s="545"/>
      <c r="BC17" s="545"/>
      <c r="BD17" s="545"/>
      <c r="BE17" s="545"/>
      <c r="BF17" s="545"/>
      <c r="BG17" s="65"/>
      <c r="BH17" s="65"/>
      <c r="BI17" s="83">
        <f>IF($T$17="Maak Keuze Betaalwijze",1,0)</f>
        <v>1</v>
      </c>
      <c r="BJ17" s="572" t="s">
        <v>697</v>
      </c>
      <c r="BK17" s="545"/>
      <c r="BL17" s="545"/>
      <c r="BM17" s="545"/>
      <c r="BN17" s="545"/>
      <c r="BO17" s="65"/>
      <c r="BP17" s="65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</row>
    <row r="18" spans="1:96" ht="21" customHeight="1">
      <c r="A18" s="4"/>
      <c r="B18" s="2"/>
      <c r="C18" s="34"/>
      <c r="D18" s="34"/>
      <c r="E18" s="34"/>
      <c r="F18" s="34"/>
      <c r="G18" s="24"/>
      <c r="H18" s="24"/>
      <c r="I18" s="852"/>
      <c r="J18" s="852"/>
      <c r="K18" s="852"/>
      <c r="L18" s="852"/>
      <c r="M18" s="852"/>
      <c r="N18" s="852"/>
      <c r="O18" s="852"/>
      <c r="P18" s="852"/>
      <c r="Q18" s="852"/>
      <c r="R18" s="852"/>
      <c r="S18" s="853"/>
      <c r="T18" s="845" t="str">
        <f>IF(OR($T$17=$BK$44,$T$17=$BK$45),"Naam op factuur","")</f>
        <v/>
      </c>
      <c r="U18" s="846"/>
      <c r="V18" s="846"/>
      <c r="W18" s="846"/>
      <c r="X18" s="846"/>
      <c r="Y18" s="846"/>
      <c r="Z18" s="846"/>
      <c r="AA18" s="846"/>
      <c r="AB18" s="846"/>
      <c r="AC18" s="846"/>
      <c r="AD18" s="846"/>
      <c r="AE18" s="846"/>
      <c r="AF18" s="847"/>
      <c r="AG18" s="523"/>
      <c r="AH18" s="523"/>
      <c r="AI18" s="523"/>
      <c r="AJ18" s="523"/>
      <c r="AK18" s="523"/>
      <c r="AL18" s="523"/>
      <c r="AM18" s="523"/>
      <c r="AN18" s="523"/>
      <c r="AO18" s="523"/>
      <c r="AP18" s="523"/>
      <c r="AQ18" s="523"/>
      <c r="AR18" s="801"/>
      <c r="AS18" s="801"/>
      <c r="AT18" s="25"/>
      <c r="AU18" s="801"/>
      <c r="AV18" s="801"/>
      <c r="AW18" s="96"/>
      <c r="AX18" s="96"/>
      <c r="AY18" s="545"/>
      <c r="AZ18" s="85"/>
      <c r="BA18" s="101"/>
      <c r="BB18" s="101"/>
      <c r="BC18" s="101"/>
      <c r="BD18" s="101"/>
      <c r="BE18" s="101"/>
      <c r="BF18" s="101"/>
      <c r="BG18" s="65"/>
      <c r="BH18" s="65"/>
      <c r="BI18" s="83">
        <f>IF($T$18="naam op factuur",1,0)</f>
        <v>0</v>
      </c>
      <c r="BJ18" s="572" t="s">
        <v>698</v>
      </c>
      <c r="BK18" s="96"/>
      <c r="BL18" s="96"/>
      <c r="BM18" s="96"/>
      <c r="BN18" s="545"/>
      <c r="BO18" s="65"/>
      <c r="BP18" s="65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</row>
    <row r="19" spans="1:96" ht="21" customHeight="1">
      <c r="A19" s="4"/>
      <c r="B19" s="2"/>
      <c r="C19" s="34"/>
      <c r="D19" s="34"/>
      <c r="E19" s="34"/>
      <c r="F19" s="34"/>
      <c r="G19" s="24"/>
      <c r="H19" s="24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53"/>
      <c r="T19" s="845" t="str">
        <f>IF(OR($T$17=$BK$44,$T$17=$BK$45),"Adres op factuur","")</f>
        <v/>
      </c>
      <c r="U19" s="846"/>
      <c r="V19" s="846"/>
      <c r="W19" s="846"/>
      <c r="X19" s="846"/>
      <c r="Y19" s="846"/>
      <c r="Z19" s="846"/>
      <c r="AA19" s="846"/>
      <c r="AB19" s="846"/>
      <c r="AC19" s="846"/>
      <c r="AD19" s="846"/>
      <c r="AE19" s="846"/>
      <c r="AF19" s="847"/>
      <c r="AG19" s="524"/>
      <c r="AH19" s="524"/>
      <c r="AI19" s="524"/>
      <c r="AJ19" s="524"/>
      <c r="AK19" s="524"/>
      <c r="AL19" s="524"/>
      <c r="AM19" s="524"/>
      <c r="AN19" s="524"/>
      <c r="AO19" s="524"/>
      <c r="AP19" s="524"/>
      <c r="AQ19" s="524"/>
      <c r="AR19" s="801"/>
      <c r="AS19" s="801"/>
      <c r="AT19" s="25"/>
      <c r="AU19" s="801"/>
      <c r="AV19" s="801"/>
      <c r="AW19" s="96"/>
      <c r="AX19" s="96"/>
      <c r="AY19" s="545"/>
      <c r="AZ19" s="85"/>
      <c r="BA19" s="101"/>
      <c r="BB19" s="101"/>
      <c r="BC19" s="101"/>
      <c r="BD19" s="101"/>
      <c r="BE19" s="101"/>
      <c r="BF19" s="101"/>
      <c r="BG19" s="65"/>
      <c r="BH19" s="65"/>
      <c r="BI19" s="83">
        <f>IF($T$19="Adres op factuur",1,0)</f>
        <v>0</v>
      </c>
      <c r="BJ19" s="573" t="s">
        <v>699</v>
      </c>
      <c r="BK19" s="96"/>
      <c r="BL19" s="96"/>
      <c r="BM19" s="96"/>
      <c r="BN19" s="545"/>
      <c r="BO19" s="65"/>
      <c r="BP19" s="65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</row>
    <row r="20" spans="1:96" ht="21" customHeight="1">
      <c r="A20" s="4"/>
      <c r="B20" s="2"/>
      <c r="C20" s="34"/>
      <c r="D20" s="34"/>
      <c r="E20" s="34"/>
      <c r="F20" s="3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525"/>
      <c r="T20" s="845" t="str">
        <f>IF(OR($T$17=$BK$44,$T$17=$BK$45),"Postcode + Plaats op factuur","")</f>
        <v/>
      </c>
      <c r="U20" s="846"/>
      <c r="V20" s="846"/>
      <c r="W20" s="846"/>
      <c r="X20" s="846"/>
      <c r="Y20" s="846"/>
      <c r="Z20" s="846"/>
      <c r="AA20" s="846"/>
      <c r="AB20" s="846"/>
      <c r="AC20" s="846"/>
      <c r="AD20" s="846"/>
      <c r="AE20" s="846"/>
      <c r="AF20" s="847"/>
      <c r="AG20" s="524"/>
      <c r="AH20" s="524"/>
      <c r="AI20" s="524"/>
      <c r="AJ20" s="524"/>
      <c r="AK20" s="524"/>
      <c r="AL20" s="524"/>
      <c r="AM20" s="524"/>
      <c r="AN20" s="524"/>
      <c r="AO20" s="524"/>
      <c r="AP20" s="524"/>
      <c r="AQ20" s="524"/>
      <c r="AR20" s="801"/>
      <c r="AS20" s="801"/>
      <c r="AT20" s="25"/>
      <c r="AU20" s="801"/>
      <c r="AV20" s="801"/>
      <c r="AW20" s="96"/>
      <c r="AX20" s="96"/>
      <c r="AY20" s="545"/>
      <c r="AZ20" s="85"/>
      <c r="BA20" s="101"/>
      <c r="BB20" s="101"/>
      <c r="BC20" s="101"/>
      <c r="BD20" s="101"/>
      <c r="BE20" s="101"/>
      <c r="BF20" s="101"/>
      <c r="BG20" s="65"/>
      <c r="BH20" s="65"/>
      <c r="BI20" s="83">
        <f>IF($T$20="Postcode + Plaats op factuur",1,0)</f>
        <v>0</v>
      </c>
      <c r="BJ20" s="572" t="s">
        <v>709</v>
      </c>
      <c r="BK20" s="96"/>
      <c r="BL20" s="96"/>
      <c r="BM20" s="96"/>
      <c r="BN20" s="545"/>
      <c r="BO20" s="65"/>
      <c r="BP20" s="65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</row>
    <row r="21" spans="1:96" ht="21" customHeight="1">
      <c r="A21" s="4"/>
      <c r="B21" s="2"/>
      <c r="C21" s="34"/>
      <c r="D21" s="34"/>
      <c r="E21" s="34"/>
      <c r="F21" s="3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525"/>
      <c r="T21" s="845" t="str">
        <f>IF(OR($T$17=$BK$44,$T$17=$BK$45),"E-mailadres voor indienen factuur","")</f>
        <v/>
      </c>
      <c r="U21" s="846"/>
      <c r="V21" s="846"/>
      <c r="W21" s="846"/>
      <c r="X21" s="846"/>
      <c r="Y21" s="846"/>
      <c r="Z21" s="846"/>
      <c r="AA21" s="846"/>
      <c r="AB21" s="846"/>
      <c r="AC21" s="846"/>
      <c r="AD21" s="846"/>
      <c r="AE21" s="846"/>
      <c r="AF21" s="847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801"/>
      <c r="AS21" s="801"/>
      <c r="AT21" s="25"/>
      <c r="AU21" s="801"/>
      <c r="AV21" s="801"/>
      <c r="AW21" s="96"/>
      <c r="AX21" s="96"/>
      <c r="AY21" s="545"/>
      <c r="AZ21" s="85"/>
      <c r="BA21" s="101"/>
      <c r="BB21" s="101"/>
      <c r="BC21" s="101"/>
      <c r="BD21" s="101"/>
      <c r="BE21" s="101"/>
      <c r="BF21" s="101"/>
      <c r="BG21" s="65"/>
      <c r="BH21" s="65"/>
      <c r="BI21" s="83">
        <f>IF($T$21="E-mailadres voor indienen factuur",1,0)</f>
        <v>0</v>
      </c>
      <c r="BJ21" s="572" t="s">
        <v>706</v>
      </c>
      <c r="BK21" s="96"/>
      <c r="BL21" s="96"/>
      <c r="BM21" s="96"/>
      <c r="BN21" s="545"/>
      <c r="BO21" s="65"/>
      <c r="BP21" s="65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</row>
    <row r="22" spans="1:96" ht="21" customHeight="1">
      <c r="A22" s="4"/>
      <c r="B22" s="2"/>
      <c r="C22" s="34"/>
      <c r="D22" s="34"/>
      <c r="E22" s="34"/>
      <c r="F22" s="3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525"/>
      <c r="T22" s="845" t="str">
        <f>IF(OR($T$17=$BK$44,$T$17=$BK$45),"BTW nummer","")</f>
        <v/>
      </c>
      <c r="U22" s="846"/>
      <c r="V22" s="846"/>
      <c r="W22" s="846"/>
      <c r="X22" s="846"/>
      <c r="Y22" s="846"/>
      <c r="Z22" s="846"/>
      <c r="AA22" s="846"/>
      <c r="AB22" s="846"/>
      <c r="AC22" s="846"/>
      <c r="AD22" s="846"/>
      <c r="AE22" s="846"/>
      <c r="AF22" s="847"/>
      <c r="AG22" s="524"/>
      <c r="AH22" s="524"/>
      <c r="AI22" s="524"/>
      <c r="AJ22" s="524"/>
      <c r="AK22" s="524"/>
      <c r="AL22" s="524"/>
      <c r="AM22" s="524"/>
      <c r="AN22" s="524"/>
      <c r="AO22" s="524"/>
      <c r="AP22" s="524"/>
      <c r="AQ22" s="524"/>
      <c r="AR22" s="801"/>
      <c r="AS22" s="801"/>
      <c r="AT22" s="25"/>
      <c r="AU22" s="801"/>
      <c r="AV22" s="801"/>
      <c r="AW22" s="96"/>
      <c r="AX22" s="96"/>
      <c r="AY22" s="545"/>
      <c r="AZ22" s="85"/>
      <c r="BA22" s="101"/>
      <c r="BB22" s="101"/>
      <c r="BC22" s="101"/>
      <c r="BD22" s="101"/>
      <c r="BE22" s="101"/>
      <c r="BF22" s="101"/>
      <c r="BG22" s="65"/>
      <c r="BH22" s="65"/>
      <c r="BI22" s="83">
        <f>IF($T$22="BTW nummer",1,0)</f>
        <v>0</v>
      </c>
      <c r="BJ22" s="572" t="s">
        <v>707</v>
      </c>
      <c r="BK22" s="96"/>
      <c r="BL22" s="96"/>
      <c r="BM22" s="96"/>
      <c r="BN22" s="545"/>
      <c r="BO22" s="65"/>
      <c r="BP22" s="65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</row>
    <row r="23" spans="1:96" ht="21" customHeight="1">
      <c r="A23" s="4"/>
      <c r="B23" s="34"/>
      <c r="C23" s="34"/>
      <c r="D23" s="34"/>
      <c r="E23" s="34"/>
      <c r="F23" s="34"/>
      <c r="G23" s="24"/>
      <c r="H23" s="24"/>
      <c r="I23" s="852"/>
      <c r="J23" s="852"/>
      <c r="K23" s="852"/>
      <c r="L23" s="852"/>
      <c r="M23" s="852"/>
      <c r="N23" s="852"/>
      <c r="O23" s="852"/>
      <c r="P23" s="852"/>
      <c r="Q23" s="852"/>
      <c r="R23" s="852"/>
      <c r="S23" s="853"/>
      <c r="T23" s="865" t="str">
        <f>IF(OR($T$17=$BK$44,$T$17=$BK$45),"Kostenplaats op factuur","")</f>
        <v/>
      </c>
      <c r="U23" s="866"/>
      <c r="V23" s="866"/>
      <c r="W23" s="866"/>
      <c r="X23" s="866"/>
      <c r="Y23" s="866"/>
      <c r="Z23" s="866"/>
      <c r="AA23" s="866"/>
      <c r="AB23" s="866"/>
      <c r="AC23" s="866"/>
      <c r="AD23" s="866"/>
      <c r="AE23" s="866"/>
      <c r="AF23" s="867"/>
      <c r="AG23" s="523"/>
      <c r="AH23" s="523"/>
      <c r="AI23" s="523"/>
      <c r="AJ23" s="523"/>
      <c r="AK23" s="523"/>
      <c r="AL23" s="523"/>
      <c r="AM23" s="523"/>
      <c r="AN23" s="523"/>
      <c r="AO23" s="523"/>
      <c r="AP23" s="523"/>
      <c r="AQ23" s="523"/>
      <c r="AR23" s="109"/>
      <c r="AS23" s="109"/>
      <c r="AT23" s="109"/>
      <c r="AU23" s="109"/>
      <c r="AV23" s="109"/>
      <c r="AW23" s="109"/>
      <c r="AX23" s="109"/>
      <c r="AY23" s="109"/>
      <c r="AZ23" s="26"/>
      <c r="BA23" s="45"/>
      <c r="BB23" s="45"/>
      <c r="BC23" s="45"/>
      <c r="BD23" s="45"/>
      <c r="BE23" s="545"/>
      <c r="BF23" s="545"/>
      <c r="BG23" s="65"/>
      <c r="BH23" s="65"/>
      <c r="BI23" s="83">
        <f>IF($T$23="kostenplaats op factuur",1,0)</f>
        <v>0</v>
      </c>
      <c r="BJ23" s="572" t="s">
        <v>700</v>
      </c>
      <c r="BK23" s="545"/>
      <c r="BL23" s="545"/>
      <c r="BM23" s="545"/>
      <c r="BN23" s="545"/>
      <c r="BO23" s="65"/>
      <c r="BP23" s="65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</row>
    <row r="24" spans="1:96" ht="21" customHeight="1">
      <c r="A24" s="4"/>
      <c r="B24" s="2"/>
      <c r="C24" s="34"/>
      <c r="D24" s="34"/>
      <c r="E24" s="34"/>
      <c r="F24" s="34"/>
      <c r="G24" s="24"/>
      <c r="H24" s="24"/>
      <c r="I24" s="852"/>
      <c r="J24" s="852"/>
      <c r="K24" s="852"/>
      <c r="L24" s="852"/>
      <c r="M24" s="852"/>
      <c r="N24" s="852"/>
      <c r="O24" s="852"/>
      <c r="P24" s="852"/>
      <c r="Q24" s="852"/>
      <c r="R24" s="852"/>
      <c r="S24" s="853"/>
      <c r="T24" s="849" t="str">
        <f>IF(OR($T$17=$BK$44,$T$17=$BK$45),"Omschrijving op factuur","")</f>
        <v/>
      </c>
      <c r="U24" s="850"/>
      <c r="V24" s="850"/>
      <c r="W24" s="850"/>
      <c r="X24" s="850"/>
      <c r="Y24" s="850"/>
      <c r="Z24" s="850"/>
      <c r="AA24" s="850"/>
      <c r="AB24" s="850"/>
      <c r="AC24" s="850"/>
      <c r="AD24" s="850"/>
      <c r="AE24" s="850"/>
      <c r="AF24" s="850"/>
      <c r="AG24" s="850"/>
      <c r="AH24" s="850"/>
      <c r="AI24" s="850"/>
      <c r="AJ24" s="850"/>
      <c r="AK24" s="850"/>
      <c r="AL24" s="851"/>
      <c r="AM24" s="832"/>
      <c r="AN24" s="832"/>
      <c r="AO24" s="832"/>
      <c r="AP24" s="832"/>
      <c r="AQ24" s="832"/>
      <c r="AR24" s="52"/>
      <c r="AS24" s="52"/>
      <c r="AT24" s="52"/>
      <c r="AU24" s="875"/>
      <c r="AV24" s="875"/>
      <c r="AW24" s="875"/>
      <c r="AX24" s="875"/>
      <c r="AY24" s="875"/>
      <c r="AZ24" s="26"/>
      <c r="BA24" s="45"/>
      <c r="BB24" s="45"/>
      <c r="BC24" s="45"/>
      <c r="BD24" s="45"/>
      <c r="BE24" s="545"/>
      <c r="BF24" s="545"/>
      <c r="BG24" s="65"/>
      <c r="BH24" s="65"/>
      <c r="BI24" s="83">
        <f>IF($T$24="omschrijving op factuur",1,0)</f>
        <v>0</v>
      </c>
      <c r="BJ24" s="572"/>
      <c r="BK24" s="545"/>
      <c r="BL24" s="545"/>
      <c r="BM24" s="545"/>
      <c r="BN24" s="545"/>
      <c r="BO24" s="65"/>
      <c r="BP24" s="65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</row>
    <row r="25" spans="1:96" ht="39.9" customHeight="1">
      <c r="A25" s="4"/>
      <c r="B25" s="2"/>
      <c r="C25" s="34"/>
      <c r="D25" s="34"/>
      <c r="E25" s="34"/>
      <c r="F25" s="34"/>
      <c r="G25" s="24"/>
      <c r="H25" s="24"/>
      <c r="I25" s="497" t="str">
        <f>IF(SUM($BH$3:$BI$24)=0,"GA DOOR NAAR STAP 2 ---&gt; BESTELLEN","")</f>
        <v/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854" t="str">
        <f>IF($I$26="",$I$25,$I$26)</f>
        <v>GA PAS DOOR ALS DEZE BALK GROEN KLEURT</v>
      </c>
      <c r="U25" s="854"/>
      <c r="V25" s="854"/>
      <c r="W25" s="854"/>
      <c r="X25" s="854"/>
      <c r="Y25" s="854"/>
      <c r="Z25" s="854"/>
      <c r="AA25" s="854"/>
      <c r="AB25" s="854"/>
      <c r="AC25" s="854"/>
      <c r="AD25" s="854"/>
      <c r="AE25" s="854"/>
      <c r="AF25" s="854"/>
      <c r="AG25" s="854"/>
      <c r="AH25" s="854"/>
      <c r="AI25" s="854"/>
      <c r="AJ25" s="854"/>
      <c r="AK25" s="854"/>
      <c r="AL25" s="854"/>
      <c r="AM25" s="854"/>
      <c r="AN25" s="854"/>
      <c r="AO25" s="854"/>
      <c r="AP25" s="305"/>
      <c r="AQ25" s="305"/>
      <c r="AR25" s="45"/>
      <c r="AS25" s="45"/>
      <c r="AT25" s="45"/>
      <c r="AU25" s="861"/>
      <c r="AV25" s="861"/>
      <c r="AW25" s="861"/>
      <c r="AX25" s="861"/>
      <c r="AY25" s="861"/>
      <c r="AZ25" s="32"/>
      <c r="BA25" s="32"/>
      <c r="BB25" s="45"/>
      <c r="BC25" s="45"/>
      <c r="BD25" s="45"/>
      <c r="BE25" s="545"/>
      <c r="BF25" s="54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</row>
    <row r="26" spans="1:96" ht="12.8" customHeight="1">
      <c r="A26" s="4"/>
      <c r="B26" s="2"/>
      <c r="C26" s="34"/>
      <c r="D26" s="34"/>
      <c r="E26" s="34"/>
      <c r="F26" s="34"/>
      <c r="G26" s="24"/>
      <c r="H26" s="24"/>
      <c r="I26" s="74" t="str">
        <f>IF(SUM($BH$3:$BI$24)&gt;0,"GA PAS DOOR ALS DEZE BALK GROEN KLEURT","")</f>
        <v>GA PAS DOOR ALS DEZE BALK GROEN KLEURT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854"/>
      <c r="U26" s="854"/>
      <c r="V26" s="854"/>
      <c r="W26" s="854"/>
      <c r="X26" s="854"/>
      <c r="Y26" s="854"/>
      <c r="Z26" s="854"/>
      <c r="AA26" s="854"/>
      <c r="AB26" s="854"/>
      <c r="AC26" s="854"/>
      <c r="AD26" s="854"/>
      <c r="AE26" s="854"/>
      <c r="AF26" s="854"/>
      <c r="AG26" s="854"/>
      <c r="AH26" s="854"/>
      <c r="AI26" s="854"/>
      <c r="AJ26" s="854"/>
      <c r="AK26" s="854"/>
      <c r="AL26" s="854"/>
      <c r="AM26" s="854"/>
      <c r="AN26" s="854"/>
      <c r="AO26" s="854"/>
      <c r="AP26" s="305"/>
      <c r="AQ26" s="305"/>
      <c r="AR26" s="52"/>
      <c r="AS26" s="52"/>
      <c r="AT26" s="52"/>
      <c r="AU26" s="53"/>
      <c r="AV26" s="53"/>
      <c r="AW26" s="53"/>
      <c r="AX26" s="53"/>
      <c r="AY26" s="53"/>
      <c r="AZ26" s="51"/>
      <c r="BA26" s="51"/>
      <c r="BB26" s="45"/>
      <c r="BC26" s="45"/>
      <c r="BD26" s="45"/>
      <c r="BE26" s="545"/>
      <c r="BF26" s="54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</row>
    <row r="27" spans="1:96" ht="23.95" customHeight="1">
      <c r="A27" s="4"/>
      <c r="B27" s="2"/>
      <c r="C27" s="34"/>
      <c r="D27" s="34"/>
      <c r="E27" s="34"/>
      <c r="F27" s="34"/>
      <c r="G27" s="24"/>
      <c r="H27" s="24"/>
      <c r="I27" s="74" t="str">
        <f>IF(SUM($BH$3:$BI$24)&gt;0,"VUL  A L L E  BESTELGEGEVENS IN","")</f>
        <v>VUL  A L L E  BESTELGEGEVENS IN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20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23"/>
      <c r="BA27" s="45"/>
      <c r="BB27" s="45"/>
      <c r="BC27" s="45"/>
      <c r="BD27" s="45"/>
      <c r="BE27" s="545"/>
      <c r="BF27" s="54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</row>
    <row r="28" spans="1:96" ht="26.2" customHeight="1">
      <c r="A28" s="4"/>
      <c r="B28" s="2"/>
      <c r="C28" s="34"/>
      <c r="D28" s="34"/>
      <c r="E28" s="34"/>
      <c r="F28" s="3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20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26"/>
      <c r="AS28" s="26"/>
      <c r="AT28" s="45"/>
      <c r="AU28" s="45"/>
      <c r="AV28" s="45"/>
      <c r="AW28" s="45"/>
      <c r="AX28" s="45"/>
      <c r="AY28" s="45"/>
      <c r="AZ28" s="23"/>
      <c r="BA28" s="45"/>
      <c r="BB28" s="45"/>
      <c r="BC28" s="45"/>
      <c r="BD28" s="45"/>
      <c r="BE28" s="545"/>
      <c r="BF28" s="54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498"/>
      <c r="BR28" s="498"/>
      <c r="BS28" s="498"/>
      <c r="BT28" s="498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</row>
    <row r="29" spans="1:96" ht="26.2" customHeight="1">
      <c r="A29" s="4"/>
      <c r="B29" s="2"/>
      <c r="C29" s="34"/>
      <c r="D29" s="34"/>
      <c r="E29" s="34"/>
      <c r="F29" s="3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20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26"/>
      <c r="AS29" s="26"/>
      <c r="AT29" s="45"/>
      <c r="AU29" s="45"/>
      <c r="AV29" s="45"/>
      <c r="AW29" s="45"/>
      <c r="AX29" s="45"/>
      <c r="AY29" s="45"/>
      <c r="AZ29" s="23"/>
      <c r="BA29" s="45"/>
      <c r="BB29" s="45"/>
      <c r="BC29" s="45"/>
      <c r="BD29" s="45"/>
      <c r="BE29" s="545"/>
      <c r="BF29" s="54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498"/>
      <c r="BR29" s="498"/>
      <c r="BS29" s="498"/>
      <c r="BT29" s="498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</row>
    <row r="30" spans="1:96" ht="26.2" customHeight="1">
      <c r="A30" s="4"/>
      <c r="B30" s="2"/>
      <c r="C30" s="3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547"/>
      <c r="U30" s="547"/>
      <c r="V30" s="547"/>
      <c r="W30" s="547"/>
      <c r="X30" s="547"/>
      <c r="Y30" s="46"/>
      <c r="Z30" s="46"/>
      <c r="AA30" s="46"/>
      <c r="AB30" s="46"/>
      <c r="AC30" s="46"/>
      <c r="AD30" s="46"/>
      <c r="AE30" s="20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26"/>
      <c r="AS30" s="26"/>
      <c r="AT30" s="45"/>
      <c r="AU30" s="45"/>
      <c r="AV30" s="45"/>
      <c r="AW30" s="45"/>
      <c r="AX30" s="45"/>
      <c r="AY30" s="45"/>
      <c r="AZ30" s="23"/>
      <c r="BA30" s="45"/>
      <c r="BB30" s="45"/>
      <c r="BC30" s="45"/>
      <c r="BD30" s="45"/>
      <c r="BE30" s="545"/>
      <c r="BF30" s="54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498"/>
      <c r="BR30" s="498"/>
      <c r="BS30" s="498"/>
      <c r="BT30" s="498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</row>
    <row r="31" spans="1:96" ht="26.2" customHeight="1">
      <c r="A31" s="4"/>
      <c r="B31" s="2"/>
      <c r="C31" s="3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547"/>
      <c r="U31" s="547"/>
      <c r="V31" s="547"/>
      <c r="W31" s="547"/>
      <c r="X31" s="547"/>
      <c r="Y31" s="46"/>
      <c r="Z31" s="46"/>
      <c r="AA31" s="46"/>
      <c r="AB31" s="46"/>
      <c r="AC31" s="46"/>
      <c r="AD31" s="46"/>
      <c r="AE31" s="20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26"/>
      <c r="AS31" s="26"/>
      <c r="AT31" s="45"/>
      <c r="AU31" s="45"/>
      <c r="AV31" s="45"/>
      <c r="AW31" s="45"/>
      <c r="AX31" s="45"/>
      <c r="AY31" s="45"/>
      <c r="AZ31" s="23"/>
      <c r="BA31" s="45"/>
      <c r="BB31" s="45"/>
      <c r="BC31" s="45"/>
      <c r="BD31" s="45"/>
      <c r="BE31" s="545"/>
      <c r="BF31" s="54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498"/>
      <c r="BR31" s="498"/>
      <c r="BS31" s="498"/>
      <c r="BT31" s="498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</row>
    <row r="32" spans="1:96" ht="26.2" customHeight="1">
      <c r="A32" s="4"/>
      <c r="B32" s="2"/>
      <c r="C32" s="3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547"/>
      <c r="U32" s="547"/>
      <c r="V32" s="547"/>
      <c r="W32" s="547"/>
      <c r="X32" s="547"/>
      <c r="Y32" s="46"/>
      <c r="Z32" s="46"/>
      <c r="AA32" s="46"/>
      <c r="AB32" s="46"/>
      <c r="AC32" s="46"/>
      <c r="AD32" s="46"/>
      <c r="AE32" s="20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26"/>
      <c r="AS32" s="26"/>
      <c r="AT32" s="45"/>
      <c r="AU32" s="45"/>
      <c r="AV32" s="45"/>
      <c r="AW32" s="45"/>
      <c r="AX32" s="45"/>
      <c r="AY32" s="45"/>
      <c r="AZ32" s="23"/>
      <c r="BA32" s="45"/>
      <c r="BB32" s="45"/>
      <c r="BC32" s="45"/>
      <c r="BD32" s="45"/>
      <c r="BE32" s="545"/>
      <c r="BF32" s="54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498"/>
      <c r="BR32" s="498"/>
      <c r="BS32" s="498"/>
      <c r="BT32" s="498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</row>
    <row r="33" spans="1:96" ht="26.2" customHeight="1">
      <c r="A33" s="10"/>
      <c r="B33" s="10"/>
      <c r="C33" s="33"/>
      <c r="D33" s="542"/>
      <c r="E33" s="542"/>
      <c r="F33" s="542"/>
      <c r="G33" s="542"/>
      <c r="H33" s="542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548"/>
      <c r="U33" s="549"/>
      <c r="V33" s="549"/>
      <c r="W33" s="549"/>
      <c r="X33" s="549"/>
      <c r="Y33" s="22"/>
      <c r="Z33" s="22"/>
      <c r="AA33" s="22"/>
      <c r="AB33" s="22"/>
      <c r="AC33" s="22"/>
      <c r="AD33" s="22"/>
      <c r="AE33" s="22"/>
      <c r="AF33" s="871"/>
      <c r="AG33" s="871"/>
      <c r="AH33" s="871"/>
      <c r="AI33" s="871"/>
      <c r="AJ33" s="871"/>
      <c r="AK33" s="871"/>
      <c r="AL33" s="871"/>
      <c r="AM33" s="871"/>
      <c r="AN33" s="871"/>
      <c r="AO33" s="871"/>
      <c r="AP33" s="871"/>
      <c r="AQ33" s="871"/>
      <c r="AR33" s="26"/>
      <c r="AS33" s="26"/>
      <c r="AT33" s="26"/>
      <c r="AU33" s="26"/>
      <c r="AV33" s="26"/>
      <c r="AW33" s="23"/>
      <c r="AX33" s="23"/>
      <c r="AY33" s="23"/>
      <c r="AZ33" s="23"/>
      <c r="BA33" s="23"/>
      <c r="BB33" s="23"/>
      <c r="BC33" s="23"/>
      <c r="BD33" s="26"/>
      <c r="BE33" s="870"/>
      <c r="BF33" s="870"/>
      <c r="BG33" s="870"/>
      <c r="BH33" s="870"/>
      <c r="BI33" s="870"/>
      <c r="BJ33" s="870"/>
      <c r="BK33" s="870"/>
      <c r="BL33" s="870"/>
      <c r="BM33" s="870"/>
      <c r="BN33" s="870"/>
      <c r="BO33" s="870"/>
      <c r="BP33" s="870"/>
      <c r="BQ33" s="498"/>
      <c r="BR33" s="498"/>
      <c r="BS33" s="498"/>
      <c r="BT33" s="498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</row>
    <row r="34" spans="1:96" ht="26.2" customHeight="1">
      <c r="A34" s="3"/>
      <c r="B34" s="3"/>
      <c r="C34" s="3"/>
      <c r="D34" s="550"/>
      <c r="E34" s="26"/>
      <c r="F34" s="26"/>
      <c r="G34" s="500"/>
      <c r="H34" s="500"/>
      <c r="I34" s="26"/>
      <c r="J34" s="26"/>
      <c r="K34" s="852"/>
      <c r="L34" s="852"/>
      <c r="M34" s="852"/>
      <c r="N34" s="852"/>
      <c r="O34" s="852"/>
      <c r="P34" s="852"/>
      <c r="Q34" s="852"/>
      <c r="R34" s="852"/>
      <c r="S34" s="852"/>
      <c r="T34" s="856"/>
      <c r="U34" s="856"/>
      <c r="V34" s="856"/>
      <c r="W34" s="551"/>
      <c r="X34" s="551"/>
      <c r="Y34" s="21"/>
      <c r="Z34" s="21"/>
      <c r="AA34" s="21"/>
      <c r="AB34" s="21"/>
      <c r="AC34" s="21"/>
      <c r="AD34" s="21"/>
      <c r="AE34" s="21"/>
      <c r="AF34" s="871"/>
      <c r="AG34" s="871"/>
      <c r="AH34" s="871"/>
      <c r="AI34" s="871"/>
      <c r="AJ34" s="871"/>
      <c r="AK34" s="871"/>
      <c r="AL34" s="871"/>
      <c r="AM34" s="871"/>
      <c r="AN34" s="871"/>
      <c r="AO34" s="871"/>
      <c r="AP34" s="871"/>
      <c r="AQ34" s="871"/>
      <c r="AR34" s="26"/>
      <c r="AS34" s="26"/>
      <c r="AT34" s="26"/>
      <c r="AU34" s="26"/>
      <c r="AV34" s="26"/>
      <c r="AW34" s="23"/>
      <c r="AX34" s="23"/>
      <c r="AY34" s="23"/>
      <c r="AZ34" s="23"/>
      <c r="BA34" s="23"/>
      <c r="BB34" s="23"/>
      <c r="BC34" s="23"/>
      <c r="BD34" s="26"/>
      <c r="BE34" s="870"/>
      <c r="BF34" s="870"/>
      <c r="BG34" s="870"/>
      <c r="BH34" s="870"/>
      <c r="BI34" s="870"/>
      <c r="BJ34" s="870"/>
      <c r="BK34" s="870"/>
      <c r="BL34" s="870"/>
      <c r="BM34" s="870"/>
      <c r="BN34" s="870"/>
      <c r="BO34" s="870"/>
      <c r="BP34" s="870"/>
      <c r="BQ34" s="498"/>
      <c r="BR34" s="498"/>
      <c r="BS34" s="498"/>
      <c r="BT34" s="498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</row>
    <row r="35" spans="1:96" ht="26.2" customHeight="1">
      <c r="A35" s="1"/>
      <c r="B35" s="61"/>
      <c r="C35" s="61"/>
      <c r="D35" s="61"/>
      <c r="E35" s="26"/>
      <c r="F35" s="26"/>
      <c r="G35" s="500"/>
      <c r="H35" s="500"/>
      <c r="I35" s="26"/>
      <c r="J35" s="26"/>
      <c r="K35" s="857"/>
      <c r="L35" s="858"/>
      <c r="M35" s="858"/>
      <c r="N35" s="858"/>
      <c r="O35" s="858"/>
      <c r="P35" s="858"/>
      <c r="Q35" s="858"/>
      <c r="R35" s="858"/>
      <c r="S35" s="858"/>
      <c r="T35" s="552"/>
      <c r="U35" s="553"/>
      <c r="V35" s="553"/>
      <c r="W35" s="553"/>
      <c r="X35" s="553"/>
      <c r="Y35" s="859"/>
      <c r="Z35" s="860"/>
      <c r="AA35" s="860"/>
      <c r="AB35" s="860"/>
      <c r="AC35" s="860"/>
      <c r="AD35" s="27"/>
      <c r="AE35" s="27"/>
      <c r="AF35" s="871"/>
      <c r="AG35" s="871"/>
      <c r="AH35" s="871"/>
      <c r="AI35" s="871"/>
      <c r="AJ35" s="871"/>
      <c r="AK35" s="871"/>
      <c r="AL35" s="871"/>
      <c r="AM35" s="871"/>
      <c r="AN35" s="871"/>
      <c r="AO35" s="871"/>
      <c r="AP35" s="871"/>
      <c r="AQ35" s="871"/>
      <c r="AR35" s="26"/>
      <c r="AS35" s="26"/>
      <c r="AT35" s="26"/>
      <c r="AU35" s="26"/>
      <c r="AV35" s="26"/>
      <c r="AW35" s="23"/>
      <c r="AX35" s="23"/>
      <c r="AY35" s="23"/>
      <c r="AZ35" s="23"/>
      <c r="BA35" s="23"/>
      <c r="BB35" s="404"/>
      <c r="BC35" s="404"/>
      <c r="BD35" s="26"/>
      <c r="BE35" s="870"/>
      <c r="BF35" s="870"/>
      <c r="BG35" s="870"/>
      <c r="BH35" s="870"/>
      <c r="BI35" s="870"/>
      <c r="BJ35" s="870"/>
      <c r="BK35" s="870"/>
      <c r="BL35" s="870"/>
      <c r="BM35" s="870"/>
      <c r="BN35" s="870"/>
      <c r="BO35" s="870"/>
      <c r="BP35" s="870"/>
      <c r="BQ35" s="65"/>
      <c r="BR35" s="61"/>
      <c r="BS35" s="61"/>
      <c r="BT35" s="61"/>
      <c r="BU35" s="403"/>
      <c r="BV35" s="403"/>
      <c r="BW35" s="403"/>
      <c r="BX35" s="403"/>
      <c r="BY35" s="403"/>
      <c r="BZ35" s="403"/>
      <c r="CA35" s="403"/>
      <c r="CB35" s="403"/>
      <c r="CC35" s="403"/>
      <c r="CD35" s="403"/>
      <c r="CE35" s="403"/>
      <c r="CF35" s="403"/>
      <c r="CG35" s="403"/>
      <c r="CH35" s="403"/>
      <c r="CI35" s="403"/>
      <c r="CJ35" s="403"/>
      <c r="CK35" s="403"/>
      <c r="CL35" s="403"/>
      <c r="CM35" s="403"/>
      <c r="CN35" s="403"/>
      <c r="CO35" s="403"/>
      <c r="CP35" s="403"/>
      <c r="CQ35" s="403"/>
      <c r="CR35" s="1"/>
    </row>
    <row r="36" spans="1:96" ht="26.2" customHeight="1">
      <c r="A36" s="1"/>
      <c r="B36" s="61"/>
      <c r="C36" s="61"/>
      <c r="D36" s="61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871"/>
      <c r="AG36" s="871"/>
      <c r="AH36" s="871"/>
      <c r="AI36" s="871"/>
      <c r="AJ36" s="871"/>
      <c r="AK36" s="871"/>
      <c r="AL36" s="871"/>
      <c r="AM36" s="871"/>
      <c r="AN36" s="871"/>
      <c r="AO36" s="871"/>
      <c r="AP36" s="871"/>
      <c r="AQ36" s="871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404"/>
      <c r="BC36" s="404"/>
      <c r="BD36" s="26"/>
      <c r="BE36" s="870"/>
      <c r="BF36" s="870"/>
      <c r="BG36" s="870"/>
      <c r="BH36" s="870"/>
      <c r="BI36" s="870"/>
      <c r="BJ36" s="870"/>
      <c r="BK36" s="870"/>
      <c r="BL36" s="870"/>
      <c r="BM36" s="870"/>
      <c r="BN36" s="870"/>
      <c r="BO36" s="870"/>
      <c r="BP36" s="870"/>
      <c r="BQ36" s="65"/>
      <c r="BR36" s="61"/>
      <c r="BS36" s="61"/>
      <c r="BT36" s="61"/>
      <c r="BU36" s="403"/>
      <c r="BV36" s="403"/>
      <c r="BW36" s="403"/>
      <c r="BX36" s="403"/>
      <c r="BY36" s="403"/>
      <c r="BZ36" s="403"/>
      <c r="CA36" s="403"/>
      <c r="CB36" s="403"/>
      <c r="CC36" s="403"/>
      <c r="CD36" s="403"/>
      <c r="CE36" s="403"/>
      <c r="CF36" s="403"/>
      <c r="CG36" s="403"/>
      <c r="CH36" s="403"/>
      <c r="CI36" s="403"/>
      <c r="CJ36" s="403"/>
      <c r="CK36" s="403"/>
      <c r="CL36" s="403"/>
      <c r="CM36" s="403"/>
      <c r="CN36" s="403"/>
      <c r="CO36" s="403"/>
      <c r="CP36" s="403"/>
      <c r="CQ36" s="403"/>
      <c r="CR36" s="1"/>
    </row>
    <row r="37" spans="1:96" ht="16.350000000000001">
      <c r="A37" s="1"/>
      <c r="B37" s="61"/>
      <c r="C37" s="61"/>
      <c r="D37" s="61"/>
      <c r="E37" s="85"/>
      <c r="F37" s="86" t="s">
        <v>6</v>
      </c>
      <c r="G37" s="86"/>
      <c r="H37" s="86"/>
      <c r="I37" s="86"/>
      <c r="J37" s="87"/>
      <c r="K37" s="86"/>
      <c r="L37" s="86"/>
      <c r="M37" s="86"/>
      <c r="N37" s="86" t="s">
        <v>5</v>
      </c>
      <c r="O37" s="86"/>
      <c r="P37" s="8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30"/>
      <c r="AT37" s="30"/>
      <c r="AU37" s="26"/>
      <c r="AV37" s="26"/>
      <c r="AW37" s="26"/>
      <c r="AX37" s="26"/>
      <c r="AY37" s="26"/>
      <c r="AZ37" s="26"/>
      <c r="BA37" s="26"/>
      <c r="BB37" s="404"/>
      <c r="BC37" s="404"/>
      <c r="BD37" s="26"/>
      <c r="BE37" s="870"/>
      <c r="BF37" s="870"/>
      <c r="BG37" s="870"/>
      <c r="BH37" s="870"/>
      <c r="BI37" s="870"/>
      <c r="BJ37" s="870"/>
      <c r="BK37" s="870"/>
      <c r="BL37" s="870"/>
      <c r="BM37" s="870"/>
      <c r="BN37" s="870"/>
      <c r="BO37" s="870"/>
      <c r="BP37" s="870"/>
      <c r="BQ37" s="65"/>
      <c r="BR37" s="65"/>
      <c r="BS37" s="65"/>
      <c r="BT37" s="65"/>
      <c r="BU37" s="65"/>
      <c r="BV37" s="65"/>
      <c r="BW37" s="403"/>
      <c r="BX37" s="403"/>
      <c r="BY37" s="403"/>
      <c r="BZ37" s="403"/>
      <c r="CA37" s="403"/>
      <c r="CB37" s="403"/>
      <c r="CC37" s="403"/>
      <c r="CD37" s="403"/>
      <c r="CE37" s="403"/>
      <c r="CF37" s="403"/>
      <c r="CG37" s="403"/>
      <c r="CH37" s="403"/>
      <c r="CI37" s="403"/>
      <c r="CJ37" s="403"/>
      <c r="CK37" s="403"/>
      <c r="CL37" s="403"/>
      <c r="CM37" s="403"/>
      <c r="CN37" s="403"/>
      <c r="CO37" s="403"/>
      <c r="CP37" s="403"/>
      <c r="CQ37" s="403"/>
      <c r="CR37" s="1"/>
    </row>
    <row r="38" spans="1:96" ht="16.350000000000001">
      <c r="A38" s="1"/>
      <c r="B38" s="61"/>
      <c r="C38" s="61"/>
      <c r="D38" s="61"/>
      <c r="E38" s="85"/>
      <c r="F38" s="87" t="s">
        <v>89</v>
      </c>
      <c r="G38" s="87"/>
      <c r="H38" s="87"/>
      <c r="I38" s="87"/>
      <c r="J38" s="558"/>
      <c r="K38" s="558"/>
      <c r="L38" s="558"/>
      <c r="M38" s="558"/>
      <c r="N38" s="87" t="s">
        <v>666</v>
      </c>
      <c r="O38" s="558"/>
      <c r="P38" s="558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26"/>
      <c r="AL38" s="26"/>
      <c r="AM38" s="26"/>
      <c r="AN38" s="26"/>
      <c r="AO38" s="26"/>
      <c r="AP38" s="26"/>
      <c r="AQ38" s="26"/>
      <c r="AR38" s="26"/>
      <c r="AS38" s="30"/>
      <c r="AT38" s="30"/>
      <c r="AU38" s="26"/>
      <c r="AV38" s="26"/>
      <c r="AW38" s="26"/>
      <c r="AX38" s="26"/>
      <c r="AY38" s="26"/>
      <c r="AZ38" s="26"/>
      <c r="BA38" s="26"/>
      <c r="BB38" s="404"/>
      <c r="BC38" s="404"/>
      <c r="BD38" s="26"/>
      <c r="BE38" s="870"/>
      <c r="BF38" s="870"/>
      <c r="BG38" s="870"/>
      <c r="BH38" s="870"/>
      <c r="BI38" s="870"/>
      <c r="BJ38" s="870"/>
      <c r="BK38" s="870"/>
      <c r="BL38" s="870"/>
      <c r="BM38" s="870"/>
      <c r="BN38" s="870"/>
      <c r="BO38" s="870"/>
      <c r="BP38" s="870"/>
      <c r="BQ38" s="65"/>
      <c r="BR38" s="65"/>
      <c r="BS38" s="65"/>
      <c r="BT38" s="65"/>
      <c r="BU38" s="65"/>
      <c r="BV38" s="65"/>
      <c r="BW38" s="403"/>
      <c r="BX38" s="403"/>
      <c r="BY38" s="403"/>
      <c r="BZ38" s="403"/>
      <c r="CA38" s="403"/>
      <c r="CB38" s="403"/>
      <c r="CC38" s="403"/>
      <c r="CD38" s="403"/>
      <c r="CE38" s="403"/>
      <c r="CF38" s="403"/>
      <c r="CG38" s="403"/>
      <c r="CH38" s="403"/>
      <c r="CI38" s="403"/>
      <c r="CJ38" s="403"/>
      <c r="CK38" s="403"/>
      <c r="CL38" s="403"/>
      <c r="CM38" s="403"/>
      <c r="CN38" s="403"/>
      <c r="CO38" s="403"/>
      <c r="CP38" s="403"/>
      <c r="CQ38" s="403"/>
      <c r="CR38" s="1"/>
    </row>
    <row r="39" spans="1:96" ht="16.350000000000001">
      <c r="A39" s="1"/>
      <c r="B39" s="61"/>
      <c r="C39" s="28"/>
      <c r="D39" s="61"/>
      <c r="E39" s="85"/>
      <c r="F39" s="87"/>
      <c r="G39" s="87"/>
      <c r="H39" s="87"/>
      <c r="I39" s="87"/>
      <c r="J39" s="87"/>
      <c r="K39" s="86"/>
      <c r="L39" s="86"/>
      <c r="M39" s="86"/>
      <c r="N39" s="87"/>
      <c r="O39" s="86"/>
      <c r="P39" s="86"/>
      <c r="Q39" s="26"/>
      <c r="R39" s="26"/>
      <c r="S39" s="26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6"/>
      <c r="AL39" s="26"/>
      <c r="AM39" s="26"/>
      <c r="AN39" s="26"/>
      <c r="AO39" s="26"/>
      <c r="AP39" s="26"/>
      <c r="AQ39" s="28"/>
      <c r="AR39" s="26"/>
      <c r="AS39" s="30"/>
      <c r="AT39" s="30"/>
      <c r="AU39" s="26"/>
      <c r="AV39" s="26"/>
      <c r="AW39" s="26"/>
      <c r="AX39" s="26"/>
      <c r="AY39" s="26"/>
      <c r="AZ39" s="26"/>
      <c r="BA39" s="26"/>
      <c r="BB39" s="404"/>
      <c r="BC39" s="404"/>
      <c r="BD39" s="26"/>
      <c r="BE39" s="85"/>
      <c r="BF39" s="65"/>
      <c r="BG39" s="65"/>
      <c r="BH39" s="66"/>
      <c r="BI39" s="65"/>
      <c r="BJ39" s="65"/>
      <c r="BK39" s="86" t="s">
        <v>87</v>
      </c>
      <c r="BL39" s="65"/>
      <c r="BM39" s="65"/>
      <c r="BN39" s="65"/>
      <c r="BO39" s="65"/>
      <c r="BP39" s="65"/>
      <c r="BQ39" s="65"/>
      <c r="BR39" s="206" t="s">
        <v>632</v>
      </c>
      <c r="BS39" s="65"/>
      <c r="BT39" s="65"/>
      <c r="BU39" s="65"/>
      <c r="BV39" s="65"/>
      <c r="BW39" s="403"/>
      <c r="BX39" s="403"/>
      <c r="BY39" s="403"/>
      <c r="BZ39" s="403"/>
      <c r="CA39" s="403"/>
      <c r="CB39" s="403"/>
      <c r="CC39" s="403"/>
      <c r="CD39" s="403"/>
      <c r="CE39" s="403"/>
      <c r="CF39" s="403"/>
      <c r="CG39" s="403"/>
      <c r="CH39" s="403"/>
      <c r="CI39" s="403"/>
      <c r="CJ39" s="403"/>
      <c r="CK39" s="403"/>
      <c r="CL39" s="403"/>
      <c r="CM39" s="403"/>
      <c r="CN39" s="403"/>
      <c r="CO39" s="403"/>
      <c r="CP39" s="403"/>
      <c r="CQ39" s="403"/>
      <c r="CR39" s="1"/>
    </row>
    <row r="40" spans="1:96" ht="16.350000000000001">
      <c r="A40" s="1"/>
      <c r="B40" s="61"/>
      <c r="C40" s="28"/>
      <c r="D40" s="61"/>
      <c r="E40" s="85"/>
      <c r="F40" s="556" t="s">
        <v>668</v>
      </c>
      <c r="G40" s="87"/>
      <c r="H40" s="87"/>
      <c r="I40" s="87"/>
      <c r="J40" s="87"/>
      <c r="K40" s="86"/>
      <c r="L40" s="86"/>
      <c r="M40" s="86"/>
      <c r="N40" s="556" t="s">
        <v>668</v>
      </c>
      <c r="O40" s="86"/>
      <c r="P40" s="86"/>
      <c r="Q40" s="26"/>
      <c r="R40" s="26"/>
      <c r="S40" s="26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6"/>
      <c r="AL40" s="26"/>
      <c r="AM40" s="26"/>
      <c r="AN40" s="26"/>
      <c r="AO40" s="26"/>
      <c r="AP40" s="26"/>
      <c r="AQ40" s="28"/>
      <c r="AR40" s="26"/>
      <c r="AS40" s="30"/>
      <c r="AT40" s="30"/>
      <c r="AU40" s="26"/>
      <c r="AV40" s="26"/>
      <c r="AW40" s="26"/>
      <c r="AX40" s="26"/>
      <c r="AY40" s="26"/>
      <c r="AZ40" s="26"/>
      <c r="BA40" s="26"/>
      <c r="BB40" s="404"/>
      <c r="BC40" s="404"/>
      <c r="BD40" s="26"/>
      <c r="BE40" s="85"/>
      <c r="BF40" s="65"/>
      <c r="BG40" s="65"/>
      <c r="BH40" s="66" t="s">
        <v>86</v>
      </c>
      <c r="BI40" s="65"/>
      <c r="BJ40" s="201" t="s">
        <v>86</v>
      </c>
      <c r="BK40" s="85"/>
      <c r="BL40" s="65"/>
      <c r="BM40" s="65"/>
      <c r="BN40" s="65"/>
      <c r="BO40" s="65"/>
      <c r="BP40" s="65"/>
      <c r="BQ40" s="65"/>
      <c r="BR40" s="206">
        <v>1</v>
      </c>
      <c r="BS40" s="65"/>
      <c r="BT40" s="65"/>
      <c r="BU40" s="65"/>
      <c r="BV40" s="65"/>
      <c r="BW40" s="403"/>
      <c r="BX40" s="403"/>
      <c r="BY40" s="403"/>
      <c r="BZ40" s="403"/>
      <c r="CA40" s="403"/>
      <c r="CB40" s="403"/>
      <c r="CC40" s="403"/>
      <c r="CD40" s="403"/>
      <c r="CE40" s="403"/>
      <c r="CF40" s="403"/>
      <c r="CG40" s="403"/>
      <c r="CH40" s="403"/>
      <c r="CI40" s="403"/>
      <c r="CJ40" s="403"/>
      <c r="CK40" s="403"/>
      <c r="CL40" s="403"/>
      <c r="CM40" s="403"/>
      <c r="CN40" s="403"/>
      <c r="CO40" s="403"/>
      <c r="CP40" s="403"/>
      <c r="CQ40" s="403"/>
      <c r="CR40" s="1"/>
    </row>
    <row r="41" spans="1:96" ht="16.350000000000001">
      <c r="A41" s="1"/>
      <c r="B41" s="61"/>
      <c r="C41" s="28"/>
      <c r="D41" s="61"/>
      <c r="E41" s="85"/>
      <c r="F41" s="556" t="s">
        <v>85</v>
      </c>
      <c r="G41" s="87"/>
      <c r="H41" s="87"/>
      <c r="I41" s="87"/>
      <c r="J41" s="87"/>
      <c r="K41" s="86"/>
      <c r="L41" s="86"/>
      <c r="M41" s="86"/>
      <c r="N41" s="556" t="s">
        <v>667</v>
      </c>
      <c r="O41" s="86"/>
      <c r="P41" s="86"/>
      <c r="Q41" s="26"/>
      <c r="R41" s="26"/>
      <c r="S41" s="26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6"/>
      <c r="AL41" s="26"/>
      <c r="AM41" s="26"/>
      <c r="AN41" s="26"/>
      <c r="AO41" s="26"/>
      <c r="AP41" s="26"/>
      <c r="AQ41" s="28"/>
      <c r="AR41" s="26"/>
      <c r="AS41" s="30"/>
      <c r="AT41" s="30"/>
      <c r="AU41" s="26"/>
      <c r="AV41" s="26"/>
      <c r="AW41" s="26"/>
      <c r="AX41" s="26"/>
      <c r="AY41" s="26"/>
      <c r="AZ41" s="26"/>
      <c r="BA41" s="26"/>
      <c r="BB41" s="404"/>
      <c r="BC41" s="404"/>
      <c r="BD41" s="26"/>
      <c r="BE41" s="85"/>
      <c r="BF41" s="65"/>
      <c r="BG41" s="65"/>
      <c r="BH41" s="66"/>
      <c r="BI41" s="65"/>
      <c r="BJ41" s="201"/>
      <c r="BK41" s="86" t="s">
        <v>631</v>
      </c>
      <c r="BL41" s="65"/>
      <c r="BM41" s="65"/>
      <c r="BN41" s="65"/>
      <c r="BO41" s="65"/>
      <c r="BP41" s="65"/>
      <c r="BQ41" s="65"/>
      <c r="BR41" s="206">
        <v>2</v>
      </c>
      <c r="BS41" s="65"/>
      <c r="BT41" s="65"/>
      <c r="BU41" s="65"/>
      <c r="BV41" s="65"/>
      <c r="BW41" s="403"/>
      <c r="BX41" s="403"/>
      <c r="BY41" s="403"/>
      <c r="BZ41" s="403"/>
      <c r="CA41" s="403"/>
      <c r="CB41" s="403"/>
      <c r="CC41" s="403"/>
      <c r="CD41" s="403"/>
      <c r="CE41" s="403"/>
      <c r="CF41" s="403"/>
      <c r="CG41" s="403"/>
      <c r="CH41" s="403"/>
      <c r="CI41" s="403"/>
      <c r="CJ41" s="403"/>
      <c r="CK41" s="403"/>
      <c r="CL41" s="403"/>
      <c r="CM41" s="403"/>
      <c r="CN41" s="403"/>
      <c r="CO41" s="403"/>
      <c r="CP41" s="403"/>
      <c r="CQ41" s="403"/>
      <c r="CR41" s="1"/>
    </row>
    <row r="42" spans="1:96" ht="16.350000000000001">
      <c r="A42" s="1"/>
      <c r="B42" s="61"/>
      <c r="C42" s="31"/>
      <c r="D42" s="61"/>
      <c r="E42" s="85"/>
      <c r="F42" s="556"/>
      <c r="G42" s="559"/>
      <c r="H42" s="556"/>
      <c r="I42" s="559"/>
      <c r="J42" s="85"/>
      <c r="K42" s="85"/>
      <c r="L42" s="85"/>
      <c r="M42" s="556"/>
      <c r="N42" s="87"/>
      <c r="O42" s="85"/>
      <c r="P42" s="85"/>
      <c r="Q42" s="26"/>
      <c r="R42" s="26"/>
      <c r="S42" s="26"/>
      <c r="T42" s="31"/>
      <c r="U42" s="26"/>
      <c r="V42" s="26"/>
      <c r="W42" s="26"/>
      <c r="X42" s="26"/>
      <c r="Y42" s="26"/>
      <c r="Z42" s="26"/>
      <c r="AA42" s="31"/>
      <c r="AB42" s="26"/>
      <c r="AC42" s="26"/>
      <c r="AD42" s="26"/>
      <c r="AE42" s="26"/>
      <c r="AF42" s="26"/>
      <c r="AG42" s="26"/>
      <c r="AH42" s="31"/>
      <c r="AI42" s="26"/>
      <c r="AJ42" s="26"/>
      <c r="AK42" s="26"/>
      <c r="AL42" s="26"/>
      <c r="AM42" s="26"/>
      <c r="AN42" s="26"/>
      <c r="AO42" s="26"/>
      <c r="AP42" s="26"/>
      <c r="AQ42" s="28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404"/>
      <c r="BC42" s="404"/>
      <c r="BD42" s="26"/>
      <c r="BE42" s="85"/>
      <c r="BF42" s="65"/>
      <c r="BG42" s="65"/>
      <c r="BH42" s="88">
        <f ca="1">TODAY()+1</f>
        <v>46094</v>
      </c>
      <c r="BI42" s="206">
        <f ca="1">IF(TEXT(BH42,"ddddd")="maandag","",1)</f>
        <v>1</v>
      </c>
      <c r="BJ42" s="501">
        <f ca="1">IF(BI42=1,BH42,"")</f>
        <v>46094</v>
      </c>
      <c r="BK42" s="86" t="s">
        <v>3</v>
      </c>
      <c r="BL42" s="65"/>
      <c r="BM42" s="65"/>
      <c r="BN42" s="65"/>
      <c r="BO42" s="65"/>
      <c r="BP42" s="65"/>
      <c r="BQ42" s="65"/>
      <c r="BR42" s="206">
        <v>3</v>
      </c>
      <c r="BS42" s="65"/>
      <c r="BT42" s="65"/>
      <c r="BU42" s="65"/>
      <c r="BV42" s="65"/>
      <c r="BW42" s="403"/>
      <c r="BX42" s="403"/>
      <c r="BY42" s="403"/>
      <c r="BZ42" s="403"/>
      <c r="CA42" s="403"/>
      <c r="CB42" s="403"/>
      <c r="CC42" s="403"/>
      <c r="CD42" s="403"/>
      <c r="CE42" s="403"/>
      <c r="CF42" s="403"/>
      <c r="CG42" s="403"/>
      <c r="CH42" s="403"/>
      <c r="CI42" s="403"/>
      <c r="CJ42" s="403"/>
      <c r="CK42" s="403"/>
      <c r="CL42" s="403"/>
      <c r="CM42" s="403"/>
      <c r="CN42" s="403"/>
      <c r="CO42" s="403"/>
      <c r="CP42" s="403"/>
      <c r="CQ42" s="403"/>
      <c r="CR42" s="1"/>
    </row>
    <row r="43" spans="1:96" ht="16.350000000000001">
      <c r="A43" s="1"/>
      <c r="B43" s="61"/>
      <c r="C43" s="28"/>
      <c r="D43" s="61"/>
      <c r="E43" s="26"/>
      <c r="F43" s="31"/>
      <c r="G43" s="554"/>
      <c r="H43" s="31"/>
      <c r="I43" s="554"/>
      <c r="J43" s="26"/>
      <c r="K43" s="26"/>
      <c r="L43" s="26"/>
      <c r="M43" s="31"/>
      <c r="N43" s="31"/>
      <c r="O43" s="26"/>
      <c r="P43" s="26"/>
      <c r="Q43" s="26"/>
      <c r="R43" s="26"/>
      <c r="S43" s="26"/>
      <c r="T43" s="31"/>
      <c r="U43" s="26"/>
      <c r="V43" s="26"/>
      <c r="W43" s="26"/>
      <c r="X43" s="26"/>
      <c r="Y43" s="26"/>
      <c r="Z43" s="26"/>
      <c r="AA43" s="28"/>
      <c r="AB43" s="26"/>
      <c r="AC43" s="26"/>
      <c r="AD43" s="26"/>
      <c r="AE43" s="26"/>
      <c r="AF43" s="26"/>
      <c r="AG43" s="26"/>
      <c r="AH43" s="28"/>
      <c r="AI43" s="26"/>
      <c r="AJ43" s="26"/>
      <c r="AK43" s="26"/>
      <c r="AL43" s="26"/>
      <c r="AM43" s="26"/>
      <c r="AN43" s="26"/>
      <c r="AO43" s="26"/>
      <c r="AP43" s="26"/>
      <c r="AQ43" s="28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404"/>
      <c r="BC43" s="404"/>
      <c r="BD43" s="26"/>
      <c r="BE43" s="85"/>
      <c r="BF43" s="65"/>
      <c r="BG43" s="65"/>
      <c r="BH43" s="88">
        <f ca="1">SUM(BH42+1)</f>
        <v>46095</v>
      </c>
      <c r="BI43" s="206">
        <f ca="1">IF(TEXT(BH43,"ddddd")="maandag","",1)</f>
        <v>1</v>
      </c>
      <c r="BJ43" s="501">
        <f t="shared" ref="BJ43:BJ106" ca="1" si="0">IF(BI43=1,BH43,"")</f>
        <v>46095</v>
      </c>
      <c r="BK43" s="86" t="s">
        <v>654</v>
      </c>
      <c r="BL43" s="65"/>
      <c r="BM43" s="65"/>
      <c r="BN43" s="65"/>
      <c r="BO43" s="65"/>
      <c r="BP43" s="65"/>
      <c r="BQ43" s="65"/>
      <c r="BR43" s="206">
        <v>4</v>
      </c>
      <c r="BS43" s="65"/>
      <c r="BT43" s="65"/>
      <c r="BU43" s="65"/>
      <c r="BV43" s="65"/>
      <c r="BW43" s="403"/>
      <c r="BX43" s="403"/>
      <c r="BY43" s="403"/>
      <c r="BZ43" s="403"/>
      <c r="CA43" s="403"/>
      <c r="CB43" s="403"/>
      <c r="CC43" s="403"/>
      <c r="CD43" s="403"/>
      <c r="CE43" s="403"/>
      <c r="CF43" s="403"/>
      <c r="CG43" s="403"/>
      <c r="CH43" s="403"/>
      <c r="CI43" s="403"/>
      <c r="CJ43" s="403"/>
      <c r="CK43" s="403"/>
      <c r="CL43" s="403"/>
      <c r="CM43" s="403"/>
      <c r="CN43" s="403"/>
      <c r="CO43" s="403"/>
      <c r="CP43" s="403"/>
      <c r="CQ43" s="403"/>
      <c r="CR43" s="1"/>
    </row>
    <row r="44" spans="1:96" ht="16.350000000000001">
      <c r="A44" s="1"/>
      <c r="B44" s="61"/>
      <c r="C44" s="48"/>
      <c r="D44" s="61"/>
      <c r="E44" s="26"/>
      <c r="F44" s="29"/>
      <c r="G44" s="554"/>
      <c r="H44" s="555"/>
      <c r="I44" s="554"/>
      <c r="J44" s="26"/>
      <c r="K44" s="26"/>
      <c r="L44" s="26"/>
      <c r="M44" s="48"/>
      <c r="N44" s="29"/>
      <c r="O44" s="26"/>
      <c r="P44" s="26"/>
      <c r="Q44" s="26"/>
      <c r="R44" s="26"/>
      <c r="S44" s="26"/>
      <c r="T44" s="48"/>
      <c r="U44" s="26"/>
      <c r="V44" s="26"/>
      <c r="W44" s="26"/>
      <c r="X44" s="26"/>
      <c r="Y44" s="26"/>
      <c r="Z44" s="26"/>
      <c r="AA44" s="48"/>
      <c r="AB44" s="26"/>
      <c r="AC44" s="26"/>
      <c r="AD44" s="26"/>
      <c r="AE44" s="26"/>
      <c r="AF44" s="26"/>
      <c r="AG44" s="26"/>
      <c r="AH44" s="48"/>
      <c r="AI44" s="26"/>
      <c r="AJ44" s="26"/>
      <c r="AK44" s="26"/>
      <c r="AL44" s="26"/>
      <c r="AM44" s="26"/>
      <c r="AN44" s="26"/>
      <c r="AO44" s="26"/>
      <c r="AP44" s="26"/>
      <c r="AQ44" s="28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404"/>
      <c r="BC44" s="404"/>
      <c r="BD44" s="26"/>
      <c r="BE44" s="85"/>
      <c r="BF44" s="65"/>
      <c r="BG44" s="65"/>
      <c r="BH44" s="88">
        <f t="shared" ref="BH44:BH108" ca="1" si="1">SUM(BH43+1)</f>
        <v>46096</v>
      </c>
      <c r="BI44" s="206">
        <f t="shared" ref="BI44:BI107" ca="1" si="2">IF(TEXT(BH44,"ddddd")="maandag","",1)</f>
        <v>1</v>
      </c>
      <c r="BJ44" s="501">
        <f t="shared" ca="1" si="0"/>
        <v>46096</v>
      </c>
      <c r="BK44" s="86" t="s">
        <v>703</v>
      </c>
      <c r="BL44" s="65"/>
      <c r="BM44" s="65"/>
      <c r="BN44" s="65"/>
      <c r="BO44" s="65"/>
      <c r="BP44" s="65"/>
      <c r="BQ44" s="65"/>
      <c r="BR44" s="206">
        <v>5</v>
      </c>
      <c r="BS44" s="65"/>
      <c r="BT44" s="65"/>
      <c r="BU44" s="65"/>
      <c r="BV44" s="65"/>
      <c r="BW44" s="403"/>
      <c r="BX44" s="403"/>
      <c r="BY44" s="403"/>
      <c r="BZ44" s="403"/>
      <c r="CA44" s="403"/>
      <c r="CB44" s="403"/>
      <c r="CC44" s="403"/>
      <c r="CD44" s="403"/>
      <c r="CE44" s="403"/>
      <c r="CF44" s="403"/>
      <c r="CG44" s="403"/>
      <c r="CH44" s="403"/>
      <c r="CI44" s="403"/>
      <c r="CJ44" s="403"/>
      <c r="CK44" s="403"/>
      <c r="CL44" s="403"/>
      <c r="CM44" s="403"/>
      <c r="CN44" s="403"/>
      <c r="CO44" s="403"/>
      <c r="CP44" s="403"/>
      <c r="CQ44" s="403"/>
      <c r="CR44" s="1"/>
    </row>
    <row r="45" spans="1:96" ht="16.350000000000001">
      <c r="A45" s="1"/>
      <c r="B45" s="61"/>
      <c r="C45" s="28"/>
      <c r="D45" s="61"/>
      <c r="E45" s="26"/>
      <c r="F45" s="31"/>
      <c r="G45" s="554"/>
      <c r="H45" s="29"/>
      <c r="I45" s="554"/>
      <c r="J45" s="26"/>
      <c r="K45" s="26"/>
      <c r="L45" s="26"/>
      <c r="M45" s="28"/>
      <c r="N45" s="31"/>
      <c r="O45" s="26"/>
      <c r="P45" s="26"/>
      <c r="Q45" s="26"/>
      <c r="R45" s="26"/>
      <c r="S45" s="26"/>
      <c r="T45" s="28"/>
      <c r="U45" s="26"/>
      <c r="V45" s="26"/>
      <c r="W45" s="26"/>
      <c r="X45" s="26"/>
      <c r="Y45" s="26"/>
      <c r="Z45" s="26"/>
      <c r="AA45" s="28"/>
      <c r="AB45" s="26"/>
      <c r="AC45" s="26"/>
      <c r="AD45" s="26"/>
      <c r="AE45" s="26"/>
      <c r="AF45" s="26"/>
      <c r="AG45" s="26"/>
      <c r="AH45" s="28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404"/>
      <c r="BC45" s="404"/>
      <c r="BD45" s="26"/>
      <c r="BE45" s="85"/>
      <c r="BF45" s="65"/>
      <c r="BG45" s="65"/>
      <c r="BH45" s="88">
        <f t="shared" ca="1" si="1"/>
        <v>46097</v>
      </c>
      <c r="BI45" s="206" t="str">
        <f t="shared" ca="1" si="2"/>
        <v/>
      </c>
      <c r="BJ45" s="501" t="str">
        <f t="shared" ca="1" si="0"/>
        <v/>
      </c>
      <c r="BK45" s="86" t="s">
        <v>701</v>
      </c>
      <c r="BL45" s="65"/>
      <c r="BM45" s="65"/>
      <c r="BN45" s="65"/>
      <c r="BO45" s="65"/>
      <c r="BP45" s="65"/>
      <c r="BQ45" s="65"/>
      <c r="BR45" s="206">
        <v>6</v>
      </c>
      <c r="BS45" s="65"/>
      <c r="BT45" s="65"/>
      <c r="BU45" s="65"/>
      <c r="BV45" s="65"/>
      <c r="BW45" s="403"/>
      <c r="BX45" s="403"/>
      <c r="BY45" s="403"/>
      <c r="BZ45" s="403"/>
      <c r="CA45" s="403"/>
      <c r="CB45" s="403"/>
      <c r="CC45" s="403"/>
      <c r="CD45" s="403"/>
      <c r="CE45" s="403"/>
      <c r="CF45" s="403"/>
      <c r="CG45" s="403"/>
      <c r="CH45" s="403"/>
      <c r="CI45" s="403"/>
      <c r="CJ45" s="403"/>
      <c r="CK45" s="403"/>
      <c r="CL45" s="403"/>
      <c r="CM45" s="403"/>
      <c r="CN45" s="403"/>
      <c r="CO45" s="403"/>
      <c r="CP45" s="403"/>
      <c r="CQ45" s="403"/>
      <c r="CR45" s="1"/>
    </row>
    <row r="46" spans="1:96" ht="16.350000000000001">
      <c r="A46" s="1"/>
      <c r="B46" s="61"/>
      <c r="C46" s="29"/>
      <c r="D46" s="61"/>
      <c r="E46" s="26"/>
      <c r="F46" s="31"/>
      <c r="G46" s="554"/>
      <c r="H46" s="29"/>
      <c r="I46" s="554"/>
      <c r="J46" s="26"/>
      <c r="K46" s="26"/>
      <c r="L46" s="26"/>
      <c r="M46" s="29"/>
      <c r="N46" s="31"/>
      <c r="O46" s="26"/>
      <c r="P46" s="26"/>
      <c r="Q46" s="26"/>
      <c r="R46" s="26"/>
      <c r="S46" s="26"/>
      <c r="T46" s="29"/>
      <c r="U46" s="26"/>
      <c r="V46" s="26"/>
      <c r="W46" s="26"/>
      <c r="X46" s="26"/>
      <c r="Y46" s="26"/>
      <c r="Z46" s="26"/>
      <c r="AA46" s="29"/>
      <c r="AB46" s="26"/>
      <c r="AC46" s="26"/>
      <c r="AD46" s="26"/>
      <c r="AE46" s="26"/>
      <c r="AF46" s="26"/>
      <c r="AG46" s="26"/>
      <c r="AH46" s="28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404"/>
      <c r="BC46" s="404"/>
      <c r="BD46" s="26"/>
      <c r="BE46" s="85"/>
      <c r="BF46" s="65"/>
      <c r="BG46" s="65"/>
      <c r="BH46" s="88">
        <f t="shared" ca="1" si="1"/>
        <v>46098</v>
      </c>
      <c r="BI46" s="206">
        <f t="shared" ca="1" si="2"/>
        <v>1</v>
      </c>
      <c r="BJ46" s="501">
        <f t="shared" ca="1" si="0"/>
        <v>46098</v>
      </c>
      <c r="BK46" s="65"/>
      <c r="BL46" s="65"/>
      <c r="BM46" s="65"/>
      <c r="BN46" s="65"/>
      <c r="BO46" s="65"/>
      <c r="BP46" s="65"/>
      <c r="BQ46" s="65"/>
      <c r="BR46" s="206">
        <v>7</v>
      </c>
      <c r="BS46" s="65"/>
      <c r="BT46" s="65"/>
      <c r="BU46" s="65"/>
      <c r="BV46" s="65"/>
      <c r="BW46" s="403"/>
      <c r="BX46" s="403"/>
      <c r="BY46" s="403"/>
      <c r="BZ46" s="403"/>
      <c r="CA46" s="403"/>
      <c r="CB46" s="403"/>
      <c r="CC46" s="403"/>
      <c r="CD46" s="403"/>
      <c r="CE46" s="403"/>
      <c r="CF46" s="403"/>
      <c r="CG46" s="403"/>
      <c r="CH46" s="403"/>
      <c r="CI46" s="403"/>
      <c r="CJ46" s="403"/>
      <c r="CK46" s="403"/>
      <c r="CL46" s="403"/>
      <c r="CM46" s="403"/>
      <c r="CN46" s="403"/>
      <c r="CO46" s="403"/>
      <c r="CP46" s="403"/>
      <c r="CQ46" s="403"/>
      <c r="CR46" s="1"/>
    </row>
    <row r="47" spans="1:96" ht="16.350000000000001">
      <c r="A47" s="1"/>
      <c r="B47" s="61"/>
      <c r="C47" s="29"/>
      <c r="D47" s="61"/>
      <c r="E47" s="26"/>
      <c r="F47" s="29"/>
      <c r="G47" s="554"/>
      <c r="H47" s="29"/>
      <c r="I47" s="554"/>
      <c r="J47" s="26"/>
      <c r="K47" s="26"/>
      <c r="L47" s="26"/>
      <c r="M47" s="29"/>
      <c r="N47" s="29"/>
      <c r="O47" s="26"/>
      <c r="P47" s="26"/>
      <c r="Q47" s="26"/>
      <c r="R47" s="26"/>
      <c r="S47" s="26"/>
      <c r="T47" s="29"/>
      <c r="U47" s="26"/>
      <c r="V47" s="26"/>
      <c r="W47" s="26"/>
      <c r="X47" s="26"/>
      <c r="Y47" s="26"/>
      <c r="Z47" s="26"/>
      <c r="AA47" s="29"/>
      <c r="AB47" s="26"/>
      <c r="AC47" s="26"/>
      <c r="AD47" s="26"/>
      <c r="AE47" s="26"/>
      <c r="AF47" s="26"/>
      <c r="AG47" s="26"/>
      <c r="AH47" s="28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404"/>
      <c r="BC47" s="404"/>
      <c r="BD47" s="26"/>
      <c r="BE47" s="85"/>
      <c r="BF47" s="65"/>
      <c r="BG47" s="65"/>
      <c r="BH47" s="88">
        <f t="shared" ca="1" si="1"/>
        <v>46099</v>
      </c>
      <c r="BI47" s="206">
        <f t="shared" ca="1" si="2"/>
        <v>1</v>
      </c>
      <c r="BJ47" s="501">
        <f t="shared" ca="1" si="0"/>
        <v>46099</v>
      </c>
      <c r="BK47" s="65"/>
      <c r="BL47" s="65"/>
      <c r="BM47" s="65"/>
      <c r="BN47" s="65"/>
      <c r="BO47" s="65"/>
      <c r="BP47" s="65"/>
      <c r="BQ47" s="65"/>
      <c r="BR47" s="206">
        <v>8</v>
      </c>
      <c r="BS47" s="65"/>
      <c r="BT47" s="65"/>
      <c r="BU47" s="65"/>
      <c r="BV47" s="65"/>
      <c r="BW47" s="403"/>
      <c r="BX47" s="403"/>
      <c r="BY47" s="403"/>
      <c r="BZ47" s="403"/>
      <c r="CA47" s="403"/>
      <c r="CB47" s="403"/>
      <c r="CC47" s="403"/>
      <c r="CD47" s="403"/>
      <c r="CE47" s="403"/>
      <c r="CF47" s="403"/>
      <c r="CG47" s="403"/>
      <c r="CH47" s="403"/>
      <c r="CI47" s="403"/>
      <c r="CJ47" s="403"/>
      <c r="CK47" s="403"/>
      <c r="CL47" s="403"/>
      <c r="CM47" s="403"/>
      <c r="CN47" s="403"/>
      <c r="CO47" s="403"/>
      <c r="CP47" s="403"/>
      <c r="CQ47" s="403"/>
      <c r="CR47" s="1"/>
    </row>
    <row r="48" spans="1:96" ht="16.350000000000001">
      <c r="A48" s="1"/>
      <c r="B48" s="61"/>
      <c r="C48" s="29"/>
      <c r="D48" s="61"/>
      <c r="E48" s="26"/>
      <c r="F48" s="29"/>
      <c r="G48" s="554"/>
      <c r="H48" s="29"/>
      <c r="I48" s="554"/>
      <c r="J48" s="26"/>
      <c r="K48" s="26"/>
      <c r="L48" s="26"/>
      <c r="M48" s="29"/>
      <c r="N48" s="29"/>
      <c r="O48" s="26"/>
      <c r="P48" s="26"/>
      <c r="Q48" s="26"/>
      <c r="R48" s="26"/>
      <c r="S48" s="26"/>
      <c r="T48" s="29"/>
      <c r="U48" s="26"/>
      <c r="V48" s="26"/>
      <c r="W48" s="26"/>
      <c r="X48" s="26"/>
      <c r="Y48" s="26"/>
      <c r="Z48" s="26"/>
      <c r="AA48" s="29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404"/>
      <c r="BC48" s="404"/>
      <c r="BD48" s="26"/>
      <c r="BE48" s="85"/>
      <c r="BF48" s="65"/>
      <c r="BG48" s="65"/>
      <c r="BH48" s="88">
        <f t="shared" ca="1" si="1"/>
        <v>46100</v>
      </c>
      <c r="BI48" s="206">
        <f t="shared" ca="1" si="2"/>
        <v>1</v>
      </c>
      <c r="BJ48" s="501">
        <f t="shared" ca="1" si="0"/>
        <v>46100</v>
      </c>
      <c r="BK48" s="65"/>
      <c r="BL48" s="65"/>
      <c r="BM48" s="65"/>
      <c r="BN48" s="65"/>
      <c r="BO48" s="65"/>
      <c r="BP48" s="65"/>
      <c r="BQ48" s="65"/>
      <c r="BR48" s="206">
        <v>9</v>
      </c>
      <c r="BS48" s="65"/>
      <c r="BT48" s="65"/>
      <c r="BU48" s="65"/>
      <c r="BV48" s="65"/>
      <c r="BW48" s="403"/>
      <c r="BX48" s="403"/>
      <c r="BY48" s="403"/>
      <c r="BZ48" s="403"/>
      <c r="CA48" s="403"/>
      <c r="CB48" s="403"/>
      <c r="CC48" s="403"/>
      <c r="CD48" s="403"/>
      <c r="CE48" s="403"/>
      <c r="CF48" s="403"/>
      <c r="CG48" s="403"/>
      <c r="CH48" s="403"/>
      <c r="CI48" s="403"/>
      <c r="CJ48" s="403"/>
      <c r="CK48" s="403"/>
      <c r="CL48" s="403"/>
      <c r="CM48" s="403"/>
      <c r="CN48" s="403"/>
      <c r="CO48" s="403"/>
      <c r="CP48" s="403"/>
      <c r="CQ48" s="403"/>
      <c r="CR48" s="1"/>
    </row>
    <row r="49" spans="1:96" ht="16.350000000000001">
      <c r="A49" s="1"/>
      <c r="B49" s="61"/>
      <c r="C49" s="29"/>
      <c r="D49" s="61"/>
      <c r="E49" s="26"/>
      <c r="F49" s="29"/>
      <c r="G49" s="26"/>
      <c r="H49" s="29"/>
      <c r="I49" s="26"/>
      <c r="J49" s="26"/>
      <c r="K49" s="26"/>
      <c r="L49" s="26"/>
      <c r="M49" s="29"/>
      <c r="N49" s="29"/>
      <c r="O49" s="26"/>
      <c r="P49" s="26"/>
      <c r="Q49" s="26"/>
      <c r="R49" s="26"/>
      <c r="S49" s="26"/>
      <c r="T49" s="29"/>
      <c r="U49" s="26"/>
      <c r="V49" s="26"/>
      <c r="W49" s="26"/>
      <c r="X49" s="26"/>
      <c r="Y49" s="26"/>
      <c r="Z49" s="26"/>
      <c r="AA49" s="29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404"/>
      <c r="BC49" s="404"/>
      <c r="BD49" s="26"/>
      <c r="BE49" s="85"/>
      <c r="BF49" s="65"/>
      <c r="BG49" s="65"/>
      <c r="BH49" s="88">
        <f t="shared" ca="1" si="1"/>
        <v>46101</v>
      </c>
      <c r="BI49" s="206">
        <f t="shared" ca="1" si="2"/>
        <v>1</v>
      </c>
      <c r="BJ49" s="501">
        <f t="shared" ca="1" si="0"/>
        <v>46101</v>
      </c>
      <c r="BK49" s="65"/>
      <c r="BL49" s="65"/>
      <c r="BM49" s="65"/>
      <c r="BN49" s="65"/>
      <c r="BO49" s="65"/>
      <c r="BP49" s="65"/>
      <c r="BQ49" s="65"/>
      <c r="BR49" s="206">
        <v>10</v>
      </c>
      <c r="BS49" s="65"/>
      <c r="BT49" s="65"/>
      <c r="BU49" s="65"/>
      <c r="BV49" s="65"/>
      <c r="BW49" s="403"/>
      <c r="BX49" s="403"/>
      <c r="BY49" s="403"/>
      <c r="BZ49" s="403"/>
      <c r="CA49" s="403"/>
      <c r="CB49" s="403"/>
      <c r="CC49" s="403"/>
      <c r="CD49" s="403"/>
      <c r="CE49" s="403"/>
      <c r="CF49" s="403"/>
      <c r="CG49" s="403"/>
      <c r="CH49" s="403"/>
      <c r="CI49" s="403"/>
      <c r="CJ49" s="403"/>
      <c r="CK49" s="403"/>
      <c r="CL49" s="403"/>
      <c r="CM49" s="403"/>
      <c r="CN49" s="403"/>
      <c r="CO49" s="403"/>
      <c r="CP49" s="403"/>
      <c r="CQ49" s="403"/>
      <c r="CR49" s="1"/>
    </row>
    <row r="50" spans="1:96" ht="16.350000000000001">
      <c r="A50" s="1"/>
      <c r="B50" s="61"/>
      <c r="C50" s="29"/>
      <c r="D50" s="61"/>
      <c r="E50" s="26"/>
      <c r="F50" s="29"/>
      <c r="G50" s="26"/>
      <c r="H50" s="29"/>
      <c r="I50" s="26"/>
      <c r="J50" s="26"/>
      <c r="K50" s="26"/>
      <c r="L50" s="26"/>
      <c r="M50" s="29"/>
      <c r="N50" s="26"/>
      <c r="O50" s="26"/>
      <c r="P50" s="26"/>
      <c r="Q50" s="26"/>
      <c r="R50" s="26"/>
      <c r="S50" s="26"/>
      <c r="T50" s="29"/>
      <c r="U50" s="26"/>
      <c r="V50" s="26"/>
      <c r="W50" s="26"/>
      <c r="X50" s="26"/>
      <c r="Y50" s="26"/>
      <c r="Z50" s="26"/>
      <c r="AA50" s="29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404"/>
      <c r="BC50" s="404"/>
      <c r="BD50" s="26"/>
      <c r="BE50" s="85"/>
      <c r="BF50" s="65"/>
      <c r="BG50" s="65"/>
      <c r="BH50" s="88">
        <f t="shared" ca="1" si="1"/>
        <v>46102</v>
      </c>
      <c r="BI50" s="206">
        <f t="shared" ca="1" si="2"/>
        <v>1</v>
      </c>
      <c r="BJ50" s="501">
        <f t="shared" ca="1" si="0"/>
        <v>46102</v>
      </c>
      <c r="BK50" s="65"/>
      <c r="BL50" s="65"/>
      <c r="BM50" s="65"/>
      <c r="BN50" s="65"/>
      <c r="BO50" s="65"/>
      <c r="BP50" s="65"/>
      <c r="BQ50" s="65"/>
      <c r="BR50" s="206">
        <v>11</v>
      </c>
      <c r="BS50" s="65"/>
      <c r="BT50" s="65"/>
      <c r="BU50" s="65"/>
      <c r="BV50" s="65"/>
      <c r="BW50" s="403"/>
      <c r="BX50" s="403"/>
      <c r="BY50" s="403"/>
      <c r="BZ50" s="403"/>
      <c r="CA50" s="403"/>
      <c r="CB50" s="403"/>
      <c r="CC50" s="403"/>
      <c r="CD50" s="403"/>
      <c r="CE50" s="403"/>
      <c r="CF50" s="403"/>
      <c r="CG50" s="403"/>
      <c r="CH50" s="403"/>
      <c r="CI50" s="403"/>
      <c r="CJ50" s="403"/>
      <c r="CK50" s="403"/>
      <c r="CL50" s="403"/>
      <c r="CM50" s="403"/>
      <c r="CN50" s="403"/>
      <c r="CO50" s="403"/>
      <c r="CP50" s="403"/>
      <c r="CQ50" s="403"/>
      <c r="CR50" s="1"/>
    </row>
    <row r="51" spans="1:96" ht="16.350000000000001">
      <c r="A51" s="1"/>
      <c r="B51" s="61"/>
      <c r="C51" s="29"/>
      <c r="D51" s="61"/>
      <c r="E51" s="26"/>
      <c r="F51" s="29"/>
      <c r="G51" s="26"/>
      <c r="H51" s="29"/>
      <c r="I51" s="26"/>
      <c r="J51" s="26"/>
      <c r="K51" s="26"/>
      <c r="L51" s="26"/>
      <c r="M51" s="29"/>
      <c r="N51" s="28"/>
      <c r="O51" s="26"/>
      <c r="P51" s="26"/>
      <c r="Q51" s="26"/>
      <c r="R51" s="26"/>
      <c r="S51" s="26"/>
      <c r="T51" s="29"/>
      <c r="U51" s="26"/>
      <c r="V51" s="26"/>
      <c r="W51" s="26"/>
      <c r="X51" s="26"/>
      <c r="Y51" s="26"/>
      <c r="Z51" s="26"/>
      <c r="AA51" s="29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8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404"/>
      <c r="BC51" s="404"/>
      <c r="BD51" s="26"/>
      <c r="BE51" s="85"/>
      <c r="BF51" s="65"/>
      <c r="BG51" s="65"/>
      <c r="BH51" s="88">
        <f t="shared" ca="1" si="1"/>
        <v>46103</v>
      </c>
      <c r="BI51" s="206">
        <f t="shared" ca="1" si="2"/>
        <v>1</v>
      </c>
      <c r="BJ51" s="501">
        <f t="shared" ca="1" si="0"/>
        <v>46103</v>
      </c>
      <c r="BK51" s="65"/>
      <c r="BL51" s="65"/>
      <c r="BM51" s="65"/>
      <c r="BN51" s="65"/>
      <c r="BO51" s="65"/>
      <c r="BP51" s="65"/>
      <c r="BQ51" s="65"/>
      <c r="BR51" s="206">
        <v>12</v>
      </c>
      <c r="BS51" s="65"/>
      <c r="BT51" s="65"/>
      <c r="BU51" s="65"/>
      <c r="BV51" s="65"/>
      <c r="BW51" s="403"/>
      <c r="BX51" s="403"/>
      <c r="BY51" s="403"/>
      <c r="BZ51" s="403"/>
      <c r="CA51" s="403"/>
      <c r="CB51" s="403"/>
      <c r="CC51" s="403"/>
      <c r="CD51" s="403"/>
      <c r="CE51" s="403"/>
      <c r="CF51" s="403"/>
      <c r="CG51" s="403"/>
      <c r="CH51" s="403"/>
      <c r="CI51" s="403"/>
      <c r="CJ51" s="403"/>
      <c r="CK51" s="403"/>
      <c r="CL51" s="403"/>
      <c r="CM51" s="403"/>
      <c r="CN51" s="403"/>
      <c r="CO51" s="403"/>
      <c r="CP51" s="403"/>
      <c r="CQ51" s="403"/>
      <c r="CR51" s="1"/>
    </row>
    <row r="52" spans="1:96" ht="16.350000000000001">
      <c r="A52" s="1"/>
      <c r="B52" s="1"/>
      <c r="C52" s="65"/>
      <c r="D52" s="65"/>
      <c r="E52" s="85"/>
      <c r="F52" s="87"/>
      <c r="G52" s="85"/>
      <c r="H52" s="87"/>
      <c r="I52" s="85"/>
      <c r="J52" s="85"/>
      <c r="K52" s="85"/>
      <c r="L52" s="85"/>
      <c r="M52" s="87"/>
      <c r="N52" s="86" t="s">
        <v>4</v>
      </c>
      <c r="O52" s="85"/>
      <c r="P52" s="85"/>
      <c r="Q52" s="85"/>
      <c r="R52" s="85"/>
      <c r="S52" s="85"/>
      <c r="T52" s="87"/>
      <c r="U52" s="85"/>
      <c r="V52" s="85"/>
      <c r="W52" s="85"/>
      <c r="X52" s="26"/>
      <c r="Y52" s="26"/>
      <c r="Z52" s="26"/>
      <c r="AA52" s="29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8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404"/>
      <c r="BC52" s="404"/>
      <c r="BD52" s="26"/>
      <c r="BE52" s="85"/>
      <c r="BF52" s="65"/>
      <c r="BG52" s="65"/>
      <c r="BH52" s="88">
        <f t="shared" ca="1" si="1"/>
        <v>46104</v>
      </c>
      <c r="BI52" s="206" t="str">
        <f t="shared" ref="BI52:BI86" ca="1" si="3">IF(TEXT(BH52,"ddddd")="maandag","",1)</f>
        <v/>
      </c>
      <c r="BJ52" s="501" t="str">
        <f t="shared" ca="1" si="0"/>
        <v/>
      </c>
      <c r="BK52" s="65"/>
      <c r="BL52" s="65"/>
      <c r="BM52" s="65"/>
      <c r="BN52" s="65"/>
      <c r="BO52" s="65"/>
      <c r="BP52" s="65"/>
      <c r="BQ52" s="65"/>
      <c r="BR52" s="206">
        <v>13</v>
      </c>
      <c r="BS52" s="65"/>
      <c r="BT52" s="61"/>
      <c r="BU52" s="61"/>
      <c r="BV52" s="61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403"/>
      <c r="CL52" s="403"/>
      <c r="CM52" s="403"/>
      <c r="CN52" s="403"/>
      <c r="CO52" s="403"/>
      <c r="CP52" s="403"/>
      <c r="CQ52" s="403"/>
      <c r="CR52" s="1"/>
    </row>
    <row r="53" spans="1:96" ht="16.350000000000001">
      <c r="A53" s="1"/>
      <c r="B53" s="1"/>
      <c r="C53" s="65"/>
      <c r="D53" s="65"/>
      <c r="E53" s="85"/>
      <c r="F53" s="87"/>
      <c r="G53" s="85"/>
      <c r="H53" s="87"/>
      <c r="I53" s="85"/>
      <c r="J53" s="85"/>
      <c r="K53" s="85"/>
      <c r="L53" s="85"/>
      <c r="M53" s="87"/>
      <c r="N53" s="85"/>
      <c r="O53" s="85"/>
      <c r="P53" s="85"/>
      <c r="Q53" s="85"/>
      <c r="R53" s="85"/>
      <c r="S53" s="85"/>
      <c r="T53" s="87"/>
      <c r="U53" s="85"/>
      <c r="V53" s="85"/>
      <c r="W53" s="85"/>
      <c r="X53" s="26"/>
      <c r="Y53" s="26"/>
      <c r="Z53" s="26"/>
      <c r="AA53" s="29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8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404"/>
      <c r="BC53" s="404"/>
      <c r="BD53" s="26"/>
      <c r="BE53" s="85"/>
      <c r="BF53" s="65"/>
      <c r="BG53" s="65"/>
      <c r="BH53" s="88">
        <f t="shared" ca="1" si="1"/>
        <v>46105</v>
      </c>
      <c r="BI53" s="206">
        <f t="shared" ca="1" si="3"/>
        <v>1</v>
      </c>
      <c r="BJ53" s="501">
        <f t="shared" ca="1" si="0"/>
        <v>46105</v>
      </c>
      <c r="BK53" s="65"/>
      <c r="BL53" s="65"/>
      <c r="BM53" s="65"/>
      <c r="BN53" s="65"/>
      <c r="BO53" s="65"/>
      <c r="BP53" s="65"/>
      <c r="BQ53" s="65"/>
      <c r="BR53" s="206">
        <v>14</v>
      </c>
      <c r="BS53" s="65"/>
      <c r="BT53" s="61"/>
      <c r="BU53" s="61"/>
      <c r="BV53" s="61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1"/>
    </row>
    <row r="54" spans="1:96" ht="16.350000000000001">
      <c r="A54" s="1"/>
      <c r="B54" s="61"/>
      <c r="C54" s="61"/>
      <c r="D54" s="61"/>
      <c r="E54" s="26"/>
      <c r="F54" s="29"/>
      <c r="G54" s="26"/>
      <c r="H54" s="29"/>
      <c r="I54" s="26"/>
      <c r="J54" s="26"/>
      <c r="K54" s="26"/>
      <c r="L54" s="26"/>
      <c r="M54" s="29"/>
      <c r="N54" s="26"/>
      <c r="O54" s="26"/>
      <c r="P54" s="26"/>
      <c r="Q54" s="26"/>
      <c r="R54" s="26"/>
      <c r="S54" s="26"/>
      <c r="T54" s="29"/>
      <c r="U54" s="26"/>
      <c r="V54" s="26"/>
      <c r="W54" s="26"/>
      <c r="X54" s="26"/>
      <c r="Y54" s="26"/>
      <c r="Z54" s="26"/>
      <c r="AA54" s="29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8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404"/>
      <c r="BC54" s="404"/>
      <c r="BD54" s="26"/>
      <c r="BE54" s="85"/>
      <c r="BF54" s="65"/>
      <c r="BG54" s="65"/>
      <c r="BH54" s="88">
        <f t="shared" ca="1" si="1"/>
        <v>46106</v>
      </c>
      <c r="BI54" s="206">
        <f t="shared" ca="1" si="3"/>
        <v>1</v>
      </c>
      <c r="BJ54" s="501">
        <f t="shared" ca="1" si="0"/>
        <v>46106</v>
      </c>
      <c r="BK54" s="65"/>
      <c r="BL54" s="65"/>
      <c r="BM54" s="65"/>
      <c r="BN54" s="65"/>
      <c r="BO54" s="65"/>
      <c r="BP54" s="65"/>
      <c r="BQ54" s="65"/>
      <c r="BR54" s="206">
        <v>15</v>
      </c>
      <c r="BS54" s="65"/>
      <c r="BT54" s="61"/>
      <c r="BU54" s="61"/>
      <c r="BV54" s="61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403"/>
      <c r="CL54" s="403"/>
      <c r="CM54" s="403"/>
      <c r="CN54" s="403"/>
      <c r="CO54" s="403"/>
      <c r="CP54" s="403"/>
      <c r="CQ54" s="403"/>
      <c r="CR54" s="1"/>
    </row>
    <row r="55" spans="1:96" ht="16.350000000000001">
      <c r="A55" s="1"/>
      <c r="B55" s="61"/>
      <c r="C55" s="61"/>
      <c r="D55" s="61"/>
      <c r="E55" s="26"/>
      <c r="F55" s="29"/>
      <c r="G55" s="26"/>
      <c r="H55" s="29"/>
      <c r="I55" s="26"/>
      <c r="J55" s="26"/>
      <c r="K55" s="26"/>
      <c r="L55" s="26"/>
      <c r="M55" s="29"/>
      <c r="N55" s="26"/>
      <c r="O55" s="26"/>
      <c r="P55" s="26"/>
      <c r="Q55" s="26"/>
      <c r="R55" s="26"/>
      <c r="S55" s="26"/>
      <c r="T55" s="29"/>
      <c r="U55" s="26"/>
      <c r="V55" s="26"/>
      <c r="W55" s="26"/>
      <c r="X55" s="26"/>
      <c r="Y55" s="26"/>
      <c r="Z55" s="26"/>
      <c r="AA55" s="29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404"/>
      <c r="BC55" s="404"/>
      <c r="BD55" s="26"/>
      <c r="BE55" s="85"/>
      <c r="BF55" s="65"/>
      <c r="BG55" s="65"/>
      <c r="BH55" s="88">
        <f t="shared" ca="1" si="1"/>
        <v>46107</v>
      </c>
      <c r="BI55" s="206">
        <f t="shared" ca="1" si="3"/>
        <v>1</v>
      </c>
      <c r="BJ55" s="501">
        <f t="shared" ca="1" si="0"/>
        <v>46107</v>
      </c>
      <c r="BK55" s="65"/>
      <c r="BL55" s="65"/>
      <c r="BM55" s="65"/>
      <c r="BN55" s="65"/>
      <c r="BO55" s="65"/>
      <c r="BP55" s="65"/>
      <c r="BQ55" s="65"/>
      <c r="BR55" s="206">
        <v>16</v>
      </c>
      <c r="BS55" s="65"/>
      <c r="BT55" s="61"/>
      <c r="BU55" s="61"/>
      <c r="BV55" s="61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1"/>
    </row>
    <row r="56" spans="1:96" ht="16.350000000000001">
      <c r="A56" s="1"/>
      <c r="B56" s="61"/>
      <c r="C56" s="61"/>
      <c r="D56" s="61"/>
      <c r="E56" s="26"/>
      <c r="F56" s="26"/>
      <c r="G56" s="26"/>
      <c r="H56" s="29"/>
      <c r="I56" s="26"/>
      <c r="J56" s="26"/>
      <c r="K56" s="26"/>
      <c r="L56" s="26"/>
      <c r="M56" s="29"/>
      <c r="N56" s="26"/>
      <c r="O56" s="26"/>
      <c r="P56" s="26"/>
      <c r="Q56" s="26"/>
      <c r="R56" s="26"/>
      <c r="S56" s="26"/>
      <c r="T56" s="29"/>
      <c r="U56" s="26"/>
      <c r="V56" s="26"/>
      <c r="W56" s="26"/>
      <c r="X56" s="26"/>
      <c r="Y56" s="26"/>
      <c r="Z56" s="26"/>
      <c r="AA56" s="29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404"/>
      <c r="BC56" s="404"/>
      <c r="BD56" s="26"/>
      <c r="BE56" s="85"/>
      <c r="BF56" s="65"/>
      <c r="BG56" s="65"/>
      <c r="BH56" s="88">
        <f t="shared" ca="1" si="1"/>
        <v>46108</v>
      </c>
      <c r="BI56" s="206">
        <f t="shared" ca="1" si="3"/>
        <v>1</v>
      </c>
      <c r="BJ56" s="501">
        <f t="shared" ca="1" si="0"/>
        <v>46108</v>
      </c>
      <c r="BK56" s="65"/>
      <c r="BL56" s="65"/>
      <c r="BM56" s="65"/>
      <c r="BN56" s="65"/>
      <c r="BO56" s="65"/>
      <c r="BP56" s="65"/>
      <c r="BQ56" s="65"/>
      <c r="BR56" s="206">
        <v>17</v>
      </c>
      <c r="BS56" s="65"/>
      <c r="BT56" s="61"/>
      <c r="BU56" s="61"/>
      <c r="BV56" s="61"/>
      <c r="BW56" s="403"/>
      <c r="BX56" s="403"/>
      <c r="BY56" s="403"/>
      <c r="BZ56" s="403"/>
      <c r="CA56" s="403"/>
      <c r="CB56" s="403"/>
      <c r="CC56" s="403"/>
      <c r="CD56" s="403"/>
      <c r="CE56" s="403"/>
      <c r="CF56" s="403"/>
      <c r="CG56" s="403"/>
      <c r="CH56" s="403"/>
      <c r="CI56" s="403"/>
      <c r="CJ56" s="403"/>
      <c r="CK56" s="403"/>
      <c r="CL56" s="403"/>
      <c r="CM56" s="403"/>
      <c r="CN56" s="403"/>
      <c r="CO56" s="403"/>
      <c r="CP56" s="403"/>
      <c r="CQ56" s="403"/>
      <c r="CR56" s="1"/>
    </row>
    <row r="57" spans="1:96" ht="16.350000000000001">
      <c r="A57" s="1"/>
      <c r="B57" s="61"/>
      <c r="C57" s="61"/>
      <c r="D57" s="61"/>
      <c r="E57" s="26"/>
      <c r="F57" s="26"/>
      <c r="G57" s="26"/>
      <c r="H57" s="29"/>
      <c r="I57" s="26"/>
      <c r="J57" s="26"/>
      <c r="K57" s="26"/>
      <c r="L57" s="26"/>
      <c r="M57" s="29"/>
      <c r="N57" s="26"/>
      <c r="O57" s="26"/>
      <c r="P57" s="26"/>
      <c r="Q57" s="26"/>
      <c r="R57" s="26"/>
      <c r="S57" s="26"/>
      <c r="T57" s="29"/>
      <c r="U57" s="26"/>
      <c r="V57" s="26"/>
      <c r="W57" s="26"/>
      <c r="X57" s="26"/>
      <c r="Y57" s="26"/>
      <c r="Z57" s="26"/>
      <c r="AA57" s="29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404"/>
      <c r="BC57" s="404"/>
      <c r="BD57" s="26"/>
      <c r="BE57" s="85"/>
      <c r="BF57" s="65"/>
      <c r="BG57" s="65"/>
      <c r="BH57" s="88">
        <f t="shared" ca="1" si="1"/>
        <v>46109</v>
      </c>
      <c r="BI57" s="206">
        <f t="shared" ca="1" si="3"/>
        <v>1</v>
      </c>
      <c r="BJ57" s="501">
        <f t="shared" ca="1" si="0"/>
        <v>46109</v>
      </c>
      <c r="BK57" s="65"/>
      <c r="BL57" s="65"/>
      <c r="BM57" s="65"/>
      <c r="BN57" s="65"/>
      <c r="BO57" s="65"/>
      <c r="BP57" s="65"/>
      <c r="BQ57" s="65"/>
      <c r="BR57" s="206">
        <v>18</v>
      </c>
      <c r="BS57" s="65"/>
      <c r="BT57" s="61"/>
      <c r="BU57" s="61"/>
      <c r="BV57" s="61"/>
      <c r="BW57" s="403"/>
      <c r="BX57" s="403"/>
      <c r="BY57" s="403"/>
      <c r="BZ57" s="403"/>
      <c r="CA57" s="403"/>
      <c r="CB57" s="403"/>
      <c r="CC57" s="403"/>
      <c r="CD57" s="403"/>
      <c r="CE57" s="403"/>
      <c r="CF57" s="403"/>
      <c r="CG57" s="403"/>
      <c r="CH57" s="403"/>
      <c r="CI57" s="403"/>
      <c r="CJ57" s="403"/>
      <c r="CK57" s="403"/>
      <c r="CL57" s="403"/>
      <c r="CM57" s="403"/>
      <c r="CN57" s="403"/>
      <c r="CO57" s="403"/>
      <c r="CP57" s="403"/>
      <c r="CQ57" s="403"/>
      <c r="CR57" s="1"/>
    </row>
    <row r="58" spans="1:96" ht="16.350000000000001">
      <c r="A58" s="1"/>
      <c r="B58" s="61"/>
      <c r="C58" s="61"/>
      <c r="D58" s="61"/>
      <c r="E58" s="26"/>
      <c r="F58" s="26"/>
      <c r="G58" s="26"/>
      <c r="H58" s="29"/>
      <c r="I58" s="26"/>
      <c r="J58" s="26"/>
      <c r="K58" s="26"/>
      <c r="L58" s="26"/>
      <c r="M58" s="29"/>
      <c r="N58" s="26"/>
      <c r="O58" s="26"/>
      <c r="P58" s="26"/>
      <c r="Q58" s="26"/>
      <c r="R58" s="26"/>
      <c r="S58" s="26"/>
      <c r="T58" s="29"/>
      <c r="U58" s="26"/>
      <c r="V58" s="26"/>
      <c r="W58" s="26"/>
      <c r="X58" s="26"/>
      <c r="Y58" s="26"/>
      <c r="Z58" s="26"/>
      <c r="AA58" s="29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404"/>
      <c r="BC58" s="404"/>
      <c r="BD58" s="26"/>
      <c r="BE58" s="85"/>
      <c r="BF58" s="65"/>
      <c r="BG58" s="65"/>
      <c r="BH58" s="88">
        <f t="shared" ca="1" si="1"/>
        <v>46110</v>
      </c>
      <c r="BI58" s="206">
        <f t="shared" ca="1" si="3"/>
        <v>1</v>
      </c>
      <c r="BJ58" s="501">
        <f t="shared" ca="1" si="0"/>
        <v>46110</v>
      </c>
      <c r="BK58" s="65"/>
      <c r="BL58" s="65"/>
      <c r="BM58" s="65"/>
      <c r="BN58" s="65"/>
      <c r="BO58" s="65"/>
      <c r="BP58" s="65"/>
      <c r="BQ58" s="65"/>
      <c r="BR58" s="206">
        <v>19</v>
      </c>
      <c r="BS58" s="65"/>
      <c r="BT58" s="61"/>
      <c r="BU58" s="61"/>
      <c r="BV58" s="61"/>
      <c r="BW58" s="403"/>
      <c r="BX58" s="403"/>
      <c r="BY58" s="403"/>
      <c r="BZ58" s="403"/>
      <c r="CA58" s="403"/>
      <c r="CB58" s="403"/>
      <c r="CC58" s="403"/>
      <c r="CD58" s="403"/>
      <c r="CE58" s="403"/>
      <c r="CF58" s="403"/>
      <c r="CG58" s="403"/>
      <c r="CH58" s="403"/>
      <c r="CI58" s="403"/>
      <c r="CJ58" s="403"/>
      <c r="CK58" s="403"/>
      <c r="CL58" s="403"/>
      <c r="CM58" s="403"/>
      <c r="CN58" s="403"/>
      <c r="CO58" s="403"/>
      <c r="CP58" s="403"/>
      <c r="CQ58" s="403"/>
      <c r="CR58" s="1"/>
    </row>
    <row r="59" spans="1:96">
      <c r="A59" s="1"/>
      <c r="B59" s="61"/>
      <c r="C59" s="61"/>
      <c r="D59" s="61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404"/>
      <c r="BC59" s="404"/>
      <c r="BD59" s="26"/>
      <c r="BE59" s="85"/>
      <c r="BF59" s="65"/>
      <c r="BG59" s="65"/>
      <c r="BH59" s="88">
        <f t="shared" ca="1" si="1"/>
        <v>46111</v>
      </c>
      <c r="BI59" s="206" t="str">
        <f t="shared" ca="1" si="3"/>
        <v/>
      </c>
      <c r="BJ59" s="501" t="str">
        <f t="shared" ca="1" si="0"/>
        <v/>
      </c>
      <c r="BK59" s="65"/>
      <c r="BL59" s="65"/>
      <c r="BM59" s="65"/>
      <c r="BN59" s="65"/>
      <c r="BO59" s="65"/>
      <c r="BP59" s="65"/>
      <c r="BQ59" s="65"/>
      <c r="BR59" s="206">
        <v>20</v>
      </c>
      <c r="BS59" s="65"/>
      <c r="BT59" s="61"/>
      <c r="BU59" s="61"/>
      <c r="BV59" s="61"/>
      <c r="BW59" s="403"/>
      <c r="BX59" s="403"/>
      <c r="BY59" s="403"/>
      <c r="BZ59" s="403"/>
      <c r="CA59" s="403"/>
      <c r="CB59" s="403"/>
      <c r="CC59" s="403"/>
      <c r="CD59" s="403"/>
      <c r="CE59" s="403"/>
      <c r="CF59" s="403"/>
      <c r="CG59" s="403"/>
      <c r="CH59" s="403"/>
      <c r="CI59" s="403"/>
      <c r="CJ59" s="403"/>
      <c r="CK59" s="403"/>
      <c r="CL59" s="403"/>
      <c r="CM59" s="403"/>
      <c r="CN59" s="403"/>
      <c r="CO59" s="403"/>
      <c r="CP59" s="403"/>
      <c r="CQ59" s="403"/>
      <c r="CR59" s="1"/>
    </row>
    <row r="60" spans="1:96">
      <c r="A60" s="1"/>
      <c r="B60" s="61"/>
      <c r="C60" s="61"/>
      <c r="D60" s="61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404"/>
      <c r="BC60" s="404"/>
      <c r="BD60" s="26"/>
      <c r="BE60" s="85"/>
      <c r="BF60" s="65"/>
      <c r="BG60" s="65"/>
      <c r="BH60" s="88">
        <f t="shared" ca="1" si="1"/>
        <v>46112</v>
      </c>
      <c r="BI60" s="206">
        <f t="shared" ca="1" si="3"/>
        <v>1</v>
      </c>
      <c r="BJ60" s="501">
        <f t="shared" ca="1" si="0"/>
        <v>46112</v>
      </c>
      <c r="BK60" s="65"/>
      <c r="BL60" s="65"/>
      <c r="BM60" s="65"/>
      <c r="BN60" s="65"/>
      <c r="BO60" s="65"/>
      <c r="BP60" s="65"/>
      <c r="BQ60" s="65"/>
      <c r="BR60" s="206">
        <v>21</v>
      </c>
      <c r="BS60" s="65"/>
      <c r="BT60" s="61"/>
      <c r="BU60" s="61"/>
      <c r="BV60" s="61"/>
      <c r="BW60" s="403"/>
      <c r="BX60" s="403"/>
      <c r="BY60" s="403"/>
      <c r="BZ60" s="403"/>
      <c r="CA60" s="403"/>
      <c r="CB60" s="403"/>
      <c r="CC60" s="403"/>
      <c r="CD60" s="403"/>
      <c r="CE60" s="403"/>
      <c r="CF60" s="403"/>
      <c r="CG60" s="403"/>
      <c r="CH60" s="403"/>
      <c r="CI60" s="403"/>
      <c r="CJ60" s="403"/>
      <c r="CK60" s="403"/>
      <c r="CL60" s="403"/>
      <c r="CM60" s="403"/>
      <c r="CN60" s="403"/>
      <c r="CO60" s="403"/>
      <c r="CP60" s="403"/>
      <c r="CQ60" s="403"/>
      <c r="CR60" s="1"/>
    </row>
    <row r="61" spans="1:96">
      <c r="A61" s="1"/>
      <c r="B61" s="61"/>
      <c r="C61" s="61"/>
      <c r="D61" s="61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404"/>
      <c r="BC61" s="404"/>
      <c r="BD61" s="26"/>
      <c r="BE61" s="85"/>
      <c r="BF61" s="65"/>
      <c r="BG61" s="65"/>
      <c r="BH61" s="88">
        <f t="shared" ca="1" si="1"/>
        <v>46113</v>
      </c>
      <c r="BI61" s="206">
        <f t="shared" ca="1" si="3"/>
        <v>1</v>
      </c>
      <c r="BJ61" s="501">
        <f t="shared" ca="1" si="0"/>
        <v>46113</v>
      </c>
      <c r="BK61" s="65"/>
      <c r="BL61" s="65"/>
      <c r="BM61" s="65"/>
      <c r="BN61" s="65"/>
      <c r="BO61" s="65"/>
      <c r="BP61" s="65"/>
      <c r="BQ61" s="65"/>
      <c r="BR61" s="206">
        <v>22</v>
      </c>
      <c r="BS61" s="65"/>
      <c r="BT61" s="61"/>
      <c r="BU61" s="61"/>
      <c r="BV61" s="61"/>
      <c r="BW61" s="403"/>
      <c r="BX61" s="403"/>
      <c r="BY61" s="403"/>
      <c r="BZ61" s="403"/>
      <c r="CA61" s="403"/>
      <c r="CB61" s="403"/>
      <c r="CC61" s="403"/>
      <c r="CD61" s="403"/>
      <c r="CE61" s="403"/>
      <c r="CF61" s="403"/>
      <c r="CG61" s="403"/>
      <c r="CH61" s="403"/>
      <c r="CI61" s="403"/>
      <c r="CJ61" s="403"/>
      <c r="CK61" s="403"/>
      <c r="CL61" s="403"/>
      <c r="CM61" s="403"/>
      <c r="CN61" s="403"/>
      <c r="CO61" s="403"/>
      <c r="CP61" s="403"/>
      <c r="CQ61" s="403"/>
      <c r="CR61" s="1"/>
    </row>
    <row r="62" spans="1:96">
      <c r="A62" s="1"/>
      <c r="B62" s="61"/>
      <c r="C62" s="61"/>
      <c r="D62" s="61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404"/>
      <c r="BC62" s="404"/>
      <c r="BD62" s="26"/>
      <c r="BE62" s="85"/>
      <c r="BF62" s="65"/>
      <c r="BG62" s="65"/>
      <c r="BH62" s="88">
        <f t="shared" ca="1" si="1"/>
        <v>46114</v>
      </c>
      <c r="BI62" s="206">
        <f t="shared" ca="1" si="3"/>
        <v>1</v>
      </c>
      <c r="BJ62" s="501">
        <f t="shared" ca="1" si="0"/>
        <v>46114</v>
      </c>
      <c r="BK62" s="65"/>
      <c r="BL62" s="65"/>
      <c r="BM62" s="65"/>
      <c r="BN62" s="65"/>
      <c r="BO62" s="65"/>
      <c r="BP62" s="65"/>
      <c r="BQ62" s="65"/>
      <c r="BR62" s="206">
        <v>23</v>
      </c>
      <c r="BS62" s="65"/>
      <c r="BT62" s="61"/>
      <c r="BU62" s="61"/>
      <c r="BV62" s="61"/>
      <c r="BW62" s="403"/>
      <c r="BX62" s="403"/>
      <c r="BY62" s="403"/>
      <c r="BZ62" s="403"/>
      <c r="CA62" s="403"/>
      <c r="CB62" s="403"/>
      <c r="CC62" s="403"/>
      <c r="CD62" s="403"/>
      <c r="CE62" s="403"/>
      <c r="CF62" s="403"/>
      <c r="CG62" s="403"/>
      <c r="CH62" s="403"/>
      <c r="CI62" s="403"/>
      <c r="CJ62" s="403"/>
      <c r="CK62" s="403"/>
      <c r="CL62" s="403"/>
      <c r="CM62" s="403"/>
      <c r="CN62" s="403"/>
      <c r="CO62" s="403"/>
      <c r="CP62" s="403"/>
      <c r="CQ62" s="403"/>
      <c r="CR62" s="1"/>
    </row>
    <row r="63" spans="1:96" ht="16.350000000000001">
      <c r="A63" s="1"/>
      <c r="B63" s="61"/>
      <c r="C63" s="61"/>
      <c r="D63" s="61"/>
      <c r="E63" s="26"/>
      <c r="F63" s="855"/>
      <c r="G63" s="855"/>
      <c r="H63" s="855"/>
      <c r="I63" s="855"/>
      <c r="J63" s="855"/>
      <c r="K63" s="855"/>
      <c r="L63" s="855"/>
      <c r="M63" s="855"/>
      <c r="N63" s="855"/>
      <c r="O63" s="855"/>
      <c r="P63" s="855"/>
      <c r="Q63" s="855"/>
      <c r="R63" s="855"/>
      <c r="S63" s="855"/>
      <c r="T63" s="855"/>
      <c r="U63" s="855"/>
      <c r="V63" s="855"/>
      <c r="W63" s="855"/>
      <c r="X63" s="855"/>
      <c r="Y63" s="855"/>
      <c r="Z63" s="855"/>
      <c r="AA63" s="855"/>
      <c r="AB63" s="855"/>
      <c r="AC63" s="855"/>
      <c r="AD63" s="855"/>
      <c r="AE63" s="855"/>
      <c r="AF63" s="855"/>
      <c r="AG63" s="855"/>
      <c r="AH63" s="855"/>
      <c r="AI63" s="855"/>
      <c r="AJ63" s="855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404"/>
      <c r="BC63" s="404"/>
      <c r="BD63" s="26"/>
      <c r="BE63" s="85"/>
      <c r="BF63" s="65"/>
      <c r="BG63" s="65"/>
      <c r="BH63" s="88">
        <f t="shared" ca="1" si="1"/>
        <v>46115</v>
      </c>
      <c r="BI63" s="206">
        <f t="shared" ca="1" si="3"/>
        <v>1</v>
      </c>
      <c r="BJ63" s="501">
        <f t="shared" ca="1" si="0"/>
        <v>46115</v>
      </c>
      <c r="BK63" s="65"/>
      <c r="BL63" s="65"/>
      <c r="BM63" s="65"/>
      <c r="BN63" s="65"/>
      <c r="BO63" s="65"/>
      <c r="BP63" s="65"/>
      <c r="BQ63" s="65"/>
      <c r="BR63" s="206">
        <v>24</v>
      </c>
      <c r="BS63" s="65"/>
      <c r="BT63" s="61"/>
      <c r="BU63" s="61"/>
      <c r="BV63" s="61"/>
      <c r="BW63" s="403"/>
      <c r="BX63" s="403"/>
      <c r="BY63" s="403"/>
      <c r="BZ63" s="403"/>
      <c r="CA63" s="403"/>
      <c r="CB63" s="403"/>
      <c r="CC63" s="403"/>
      <c r="CD63" s="403"/>
      <c r="CE63" s="403"/>
      <c r="CF63" s="403"/>
      <c r="CG63" s="403"/>
      <c r="CH63" s="403"/>
      <c r="CI63" s="403"/>
      <c r="CJ63" s="403"/>
      <c r="CK63" s="403"/>
      <c r="CL63" s="403"/>
      <c r="CM63" s="403"/>
      <c r="CN63" s="403"/>
      <c r="CO63" s="403"/>
      <c r="CP63" s="403"/>
      <c r="CQ63" s="403"/>
      <c r="CR63" s="1"/>
    </row>
    <row r="64" spans="1:96" ht="16.350000000000001">
      <c r="A64" s="1"/>
      <c r="B64" s="61"/>
      <c r="C64" s="28"/>
      <c r="D64" s="61"/>
      <c r="E64" s="26"/>
      <c r="F64" s="28"/>
      <c r="G64" s="28"/>
      <c r="H64" s="28"/>
      <c r="I64" s="28"/>
      <c r="J64" s="29"/>
      <c r="K64" s="28"/>
      <c r="L64" s="28"/>
      <c r="M64" s="28"/>
      <c r="N64" s="28"/>
      <c r="O64" s="28"/>
      <c r="P64" s="28"/>
      <c r="Q64" s="26"/>
      <c r="R64" s="26"/>
      <c r="S64" s="26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404"/>
      <c r="BC64" s="404"/>
      <c r="BD64" s="26"/>
      <c r="BE64" s="85"/>
      <c r="BF64" s="65"/>
      <c r="BG64" s="65"/>
      <c r="BH64" s="88">
        <f t="shared" ca="1" si="1"/>
        <v>46116</v>
      </c>
      <c r="BI64" s="206">
        <f t="shared" ca="1" si="3"/>
        <v>1</v>
      </c>
      <c r="BJ64" s="501">
        <f t="shared" ca="1" si="0"/>
        <v>46116</v>
      </c>
      <c r="BK64" s="65"/>
      <c r="BL64" s="65"/>
      <c r="BM64" s="65"/>
      <c r="BN64" s="65"/>
      <c r="BO64" s="65"/>
      <c r="BP64" s="65"/>
      <c r="BQ64" s="65"/>
      <c r="BR64" s="206">
        <v>25</v>
      </c>
      <c r="BS64" s="65"/>
      <c r="BT64" s="61"/>
      <c r="BU64" s="61"/>
      <c r="BV64" s="61"/>
      <c r="BW64" s="403"/>
      <c r="BX64" s="403"/>
      <c r="BY64" s="403"/>
      <c r="BZ64" s="403"/>
      <c r="CA64" s="403"/>
      <c r="CB64" s="403"/>
      <c r="CC64" s="403"/>
      <c r="CD64" s="403"/>
      <c r="CE64" s="403"/>
      <c r="CF64" s="403"/>
      <c r="CG64" s="403"/>
      <c r="CH64" s="403"/>
      <c r="CI64" s="403"/>
      <c r="CJ64" s="403"/>
      <c r="CK64" s="403"/>
      <c r="CL64" s="403"/>
      <c r="CM64" s="403"/>
      <c r="CN64" s="403"/>
      <c r="CO64" s="403"/>
      <c r="CP64" s="403"/>
      <c r="CQ64" s="403"/>
      <c r="CR64" s="1"/>
    </row>
    <row r="65" spans="1:96" ht="16.350000000000001">
      <c r="A65" s="1"/>
      <c r="B65" s="61"/>
      <c r="C65" s="31"/>
      <c r="D65" s="61"/>
      <c r="E65" s="26"/>
      <c r="F65" s="31"/>
      <c r="G65" s="26"/>
      <c r="H65" s="31"/>
      <c r="I65" s="26"/>
      <c r="J65" s="26"/>
      <c r="K65" s="26"/>
      <c r="L65" s="26"/>
      <c r="M65" s="31"/>
      <c r="N65" s="26"/>
      <c r="O65" s="26"/>
      <c r="P65" s="26"/>
      <c r="Q65" s="26"/>
      <c r="R65" s="26"/>
      <c r="S65" s="26"/>
      <c r="T65" s="31"/>
      <c r="U65" s="26"/>
      <c r="V65" s="26"/>
      <c r="W65" s="26"/>
      <c r="X65" s="26"/>
      <c r="Y65" s="26"/>
      <c r="Z65" s="26"/>
      <c r="AA65" s="31"/>
      <c r="AB65" s="26"/>
      <c r="AC65" s="26"/>
      <c r="AD65" s="26"/>
      <c r="AE65" s="26"/>
      <c r="AF65" s="26"/>
      <c r="AG65" s="26"/>
      <c r="AH65" s="31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32"/>
      <c r="AT65" s="32"/>
      <c r="AU65" s="32"/>
      <c r="AV65" s="32"/>
      <c r="AW65" s="32"/>
      <c r="AX65" s="32"/>
      <c r="AY65" s="26"/>
      <c r="AZ65" s="32"/>
      <c r="BA65" s="32"/>
      <c r="BB65" s="405"/>
      <c r="BC65" s="405"/>
      <c r="BD65" s="32"/>
      <c r="BE65" s="89"/>
      <c r="BF65" s="65"/>
      <c r="BG65" s="65"/>
      <c r="BH65" s="88">
        <f t="shared" ca="1" si="1"/>
        <v>46117</v>
      </c>
      <c r="BI65" s="206">
        <f t="shared" ca="1" si="3"/>
        <v>1</v>
      </c>
      <c r="BJ65" s="501">
        <f t="shared" ca="1" si="0"/>
        <v>46117</v>
      </c>
      <c r="BK65" s="65"/>
      <c r="BL65" s="65"/>
      <c r="BM65" s="65"/>
      <c r="BN65" s="65"/>
      <c r="BO65" s="65"/>
      <c r="BP65" s="65"/>
      <c r="BQ65" s="65"/>
      <c r="BR65" s="206">
        <v>26</v>
      </c>
      <c r="BS65" s="65"/>
      <c r="BT65" s="61"/>
      <c r="BU65" s="61"/>
      <c r="BV65" s="61"/>
      <c r="BW65" s="403"/>
      <c r="BX65" s="403"/>
      <c r="BY65" s="403"/>
      <c r="BZ65" s="403"/>
      <c r="CA65" s="403"/>
      <c r="CB65" s="403"/>
      <c r="CC65" s="403"/>
      <c r="CD65" s="403"/>
      <c r="CE65" s="403"/>
      <c r="CF65" s="403"/>
      <c r="CG65" s="403"/>
      <c r="CH65" s="403"/>
      <c r="CI65" s="403"/>
      <c r="CJ65" s="403"/>
      <c r="CK65" s="403"/>
      <c r="CL65" s="403"/>
      <c r="CM65" s="403"/>
      <c r="CN65" s="403"/>
      <c r="CO65" s="403"/>
      <c r="CP65" s="403"/>
      <c r="CQ65" s="403"/>
      <c r="CR65" s="1"/>
    </row>
    <row r="66" spans="1:96" ht="16.350000000000001">
      <c r="A66" s="1"/>
      <c r="B66" s="61"/>
      <c r="C66" s="28"/>
      <c r="D66" s="61"/>
      <c r="E66" s="26"/>
      <c r="F66" s="28"/>
      <c r="G66" s="26"/>
      <c r="H66" s="28"/>
      <c r="I66" s="26"/>
      <c r="J66" s="26"/>
      <c r="K66" s="26"/>
      <c r="L66" s="26"/>
      <c r="M66" s="28"/>
      <c r="N66" s="26"/>
      <c r="O66" s="26"/>
      <c r="P66" s="26"/>
      <c r="Q66" s="26"/>
      <c r="R66" s="26"/>
      <c r="S66" s="26"/>
      <c r="T66" s="28"/>
      <c r="U66" s="26"/>
      <c r="V66" s="26"/>
      <c r="W66" s="26"/>
      <c r="X66" s="26"/>
      <c r="Y66" s="26"/>
      <c r="Z66" s="26"/>
      <c r="AA66" s="28"/>
      <c r="AB66" s="26"/>
      <c r="AC66" s="26"/>
      <c r="AD66" s="26"/>
      <c r="AE66" s="26"/>
      <c r="AF66" s="26"/>
      <c r="AG66" s="26"/>
      <c r="AH66" s="28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38"/>
      <c r="AT66" s="38"/>
      <c r="AU66" s="38"/>
      <c r="AV66" s="38"/>
      <c r="AW66" s="38"/>
      <c r="AX66" s="39"/>
      <c r="AY66" s="26"/>
      <c r="AZ66" s="40"/>
      <c r="BA66" s="30"/>
      <c r="BB66" s="406"/>
      <c r="BC66" s="406"/>
      <c r="BD66" s="30"/>
      <c r="BE66" s="90"/>
      <c r="BF66" s="65"/>
      <c r="BG66" s="65"/>
      <c r="BH66" s="88">
        <f t="shared" ca="1" si="1"/>
        <v>46118</v>
      </c>
      <c r="BI66" s="206" t="str">
        <f t="shared" ca="1" si="3"/>
        <v/>
      </c>
      <c r="BJ66" s="501" t="str">
        <f t="shared" ca="1" si="0"/>
        <v/>
      </c>
      <c r="BK66" s="65"/>
      <c r="BL66" s="65"/>
      <c r="BM66" s="65"/>
      <c r="BN66" s="65"/>
      <c r="BO66" s="65"/>
      <c r="BP66" s="65"/>
      <c r="BQ66" s="65"/>
      <c r="BR66" s="206">
        <v>27</v>
      </c>
      <c r="BS66" s="65"/>
      <c r="BT66" s="61"/>
      <c r="BU66" s="61"/>
      <c r="BV66" s="61"/>
      <c r="BW66" s="403"/>
      <c r="BX66" s="403"/>
      <c r="BY66" s="403"/>
      <c r="BZ66" s="403"/>
      <c r="CA66" s="403"/>
      <c r="CB66" s="403"/>
      <c r="CC66" s="403"/>
      <c r="CD66" s="403"/>
      <c r="CE66" s="403"/>
      <c r="CF66" s="403"/>
      <c r="CG66" s="403"/>
      <c r="CH66" s="403"/>
      <c r="CI66" s="403"/>
      <c r="CJ66" s="403"/>
      <c r="CK66" s="403"/>
      <c r="CL66" s="403"/>
      <c r="CM66" s="403"/>
      <c r="CN66" s="403"/>
      <c r="CO66" s="403"/>
      <c r="CP66" s="403"/>
      <c r="CQ66" s="403"/>
      <c r="CR66" s="1"/>
    </row>
    <row r="67" spans="1:96" ht="16.350000000000001">
      <c r="A67" s="1"/>
      <c r="B67" s="61"/>
      <c r="C67" s="28"/>
      <c r="D67" s="61"/>
      <c r="E67" s="26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48"/>
      <c r="AI67" s="28"/>
      <c r="AJ67" s="28"/>
      <c r="AK67" s="28"/>
      <c r="AL67" s="26"/>
      <c r="AM67" s="26"/>
      <c r="AN67" s="26"/>
      <c r="AO67" s="26"/>
      <c r="AP67" s="26"/>
      <c r="AQ67" s="26"/>
      <c r="AR67" s="26"/>
      <c r="AS67" s="38"/>
      <c r="AT67" s="38"/>
      <c r="AU67" s="38"/>
      <c r="AV67" s="38"/>
      <c r="AW67" s="38"/>
      <c r="AX67" s="39"/>
      <c r="AY67" s="26"/>
      <c r="AZ67" s="40"/>
      <c r="BA67" s="30"/>
      <c r="BB67" s="406"/>
      <c r="BC67" s="406"/>
      <c r="BD67" s="30"/>
      <c r="BE67" s="90"/>
      <c r="BF67" s="65"/>
      <c r="BG67" s="65"/>
      <c r="BH67" s="88">
        <f t="shared" ca="1" si="1"/>
        <v>46119</v>
      </c>
      <c r="BI67" s="206">
        <f t="shared" ca="1" si="3"/>
        <v>1</v>
      </c>
      <c r="BJ67" s="501">
        <f t="shared" ca="1" si="0"/>
        <v>46119</v>
      </c>
      <c r="BK67" s="65"/>
      <c r="BL67" s="65"/>
      <c r="BM67" s="65"/>
      <c r="BN67" s="65"/>
      <c r="BO67" s="65"/>
      <c r="BP67" s="65"/>
      <c r="BQ67" s="65"/>
      <c r="BR67" s="206">
        <v>28</v>
      </c>
      <c r="BS67" s="65"/>
      <c r="BT67" s="61"/>
      <c r="BU67" s="61"/>
      <c r="BV67" s="61"/>
      <c r="BW67" s="403"/>
      <c r="BX67" s="403"/>
      <c r="BY67" s="403"/>
      <c r="BZ67" s="403"/>
      <c r="CA67" s="403"/>
      <c r="CB67" s="403"/>
      <c r="CC67" s="403"/>
      <c r="CD67" s="403"/>
      <c r="CE67" s="403"/>
      <c r="CF67" s="403"/>
      <c r="CG67" s="403"/>
      <c r="CH67" s="403"/>
      <c r="CI67" s="403"/>
      <c r="CJ67" s="403"/>
      <c r="CK67" s="403"/>
      <c r="CL67" s="403"/>
      <c r="CM67" s="403"/>
      <c r="CN67" s="403"/>
      <c r="CO67" s="403"/>
      <c r="CP67" s="403"/>
      <c r="CQ67" s="403"/>
      <c r="CR67" s="1"/>
    </row>
    <row r="68" spans="1:96" ht="16.350000000000001">
      <c r="A68" s="1"/>
      <c r="B68" s="61"/>
      <c r="C68" s="48"/>
      <c r="D68" s="61"/>
      <c r="E68" s="26"/>
      <c r="F68" s="26"/>
      <c r="G68" s="26"/>
      <c r="H68" s="48"/>
      <c r="I68" s="26"/>
      <c r="J68" s="26"/>
      <c r="K68" s="26"/>
      <c r="L68" s="26"/>
      <c r="M68" s="48"/>
      <c r="N68" s="26"/>
      <c r="O68" s="26"/>
      <c r="P68" s="26"/>
      <c r="Q68" s="26"/>
      <c r="R68" s="26"/>
      <c r="S68" s="26"/>
      <c r="T68" s="48"/>
      <c r="U68" s="26"/>
      <c r="V68" s="26"/>
      <c r="W68" s="26"/>
      <c r="X68" s="26"/>
      <c r="Y68" s="26"/>
      <c r="Z68" s="26"/>
      <c r="AA68" s="48"/>
      <c r="AB68" s="26"/>
      <c r="AC68" s="26"/>
      <c r="AD68" s="26"/>
      <c r="AE68" s="26"/>
      <c r="AF68" s="26"/>
      <c r="AG68" s="26"/>
      <c r="AH68" s="28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404"/>
      <c r="BC68" s="404"/>
      <c r="BD68" s="26"/>
      <c r="BE68" s="85"/>
      <c r="BF68" s="65"/>
      <c r="BG68" s="65"/>
      <c r="BH68" s="88">
        <f t="shared" ca="1" si="1"/>
        <v>46120</v>
      </c>
      <c r="BI68" s="206">
        <f t="shared" ca="1" si="3"/>
        <v>1</v>
      </c>
      <c r="BJ68" s="501">
        <f t="shared" ca="1" si="0"/>
        <v>46120</v>
      </c>
      <c r="BK68" s="65"/>
      <c r="BL68" s="65"/>
      <c r="BM68" s="65"/>
      <c r="BN68" s="65"/>
      <c r="BO68" s="65"/>
      <c r="BP68" s="65"/>
      <c r="BQ68" s="65"/>
      <c r="BR68" s="206">
        <v>29</v>
      </c>
      <c r="BS68" s="65"/>
      <c r="BT68" s="61"/>
      <c r="BU68" s="61"/>
      <c r="BV68" s="61"/>
      <c r="BW68" s="403"/>
      <c r="BX68" s="403"/>
      <c r="BY68" s="403"/>
      <c r="BZ68" s="403"/>
      <c r="CA68" s="403"/>
      <c r="CB68" s="403"/>
      <c r="CC68" s="403"/>
      <c r="CD68" s="403"/>
      <c r="CE68" s="403"/>
      <c r="CF68" s="403"/>
      <c r="CG68" s="403"/>
      <c r="CH68" s="403"/>
      <c r="CI68" s="403"/>
      <c r="CJ68" s="403"/>
      <c r="CK68" s="403"/>
      <c r="CL68" s="403"/>
      <c r="CM68" s="403"/>
      <c r="CN68" s="403"/>
      <c r="CO68" s="403"/>
      <c r="CP68" s="403"/>
      <c r="CQ68" s="403"/>
      <c r="CR68" s="1"/>
    </row>
    <row r="69" spans="1:96" ht="16.350000000000001">
      <c r="A69" s="1"/>
      <c r="B69" s="61"/>
      <c r="C69" s="28"/>
      <c r="D69" s="61"/>
      <c r="E69" s="26"/>
      <c r="F69" s="28"/>
      <c r="G69" s="26"/>
      <c r="H69" s="28"/>
      <c r="I69" s="26"/>
      <c r="J69" s="26"/>
      <c r="K69" s="26"/>
      <c r="L69" s="26"/>
      <c r="M69" s="28"/>
      <c r="N69" s="26"/>
      <c r="O69" s="26"/>
      <c r="P69" s="26"/>
      <c r="Q69" s="26"/>
      <c r="R69" s="26"/>
      <c r="S69" s="26"/>
      <c r="T69" s="28"/>
      <c r="U69" s="26"/>
      <c r="V69" s="26"/>
      <c r="W69" s="26"/>
      <c r="X69" s="26"/>
      <c r="Y69" s="26"/>
      <c r="Z69" s="26"/>
      <c r="AA69" s="28"/>
      <c r="AB69" s="26"/>
      <c r="AC69" s="26"/>
      <c r="AD69" s="26"/>
      <c r="AE69" s="26"/>
      <c r="AF69" s="26"/>
      <c r="AG69" s="26"/>
      <c r="AH69" s="28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42"/>
      <c r="AY69" s="26"/>
      <c r="AZ69" s="26"/>
      <c r="BA69" s="26"/>
      <c r="BB69" s="404"/>
      <c r="BC69" s="404"/>
      <c r="BD69" s="26"/>
      <c r="BE69" s="90"/>
      <c r="BF69" s="65"/>
      <c r="BG69" s="65"/>
      <c r="BH69" s="88">
        <f t="shared" ca="1" si="1"/>
        <v>46121</v>
      </c>
      <c r="BI69" s="206">
        <f t="shared" ca="1" si="3"/>
        <v>1</v>
      </c>
      <c r="BJ69" s="501">
        <f t="shared" ca="1" si="0"/>
        <v>46121</v>
      </c>
      <c r="BK69" s="65"/>
      <c r="BL69" s="65"/>
      <c r="BM69" s="65"/>
      <c r="BN69" s="65"/>
      <c r="BO69" s="65"/>
      <c r="BP69" s="65"/>
      <c r="BQ69" s="65"/>
      <c r="BR69" s="206">
        <v>30</v>
      </c>
      <c r="BS69" s="65"/>
      <c r="BT69" s="61"/>
      <c r="BU69" s="61"/>
      <c r="BV69" s="61"/>
      <c r="BW69" s="403"/>
      <c r="BX69" s="403"/>
      <c r="BY69" s="403"/>
      <c r="BZ69" s="403"/>
      <c r="CA69" s="403"/>
      <c r="CB69" s="403"/>
      <c r="CC69" s="403"/>
      <c r="CD69" s="403"/>
      <c r="CE69" s="403"/>
      <c r="CF69" s="403"/>
      <c r="CG69" s="403"/>
      <c r="CH69" s="403"/>
      <c r="CI69" s="403"/>
      <c r="CJ69" s="403"/>
      <c r="CK69" s="403"/>
      <c r="CL69" s="403"/>
      <c r="CM69" s="403"/>
      <c r="CN69" s="403"/>
      <c r="CO69" s="403"/>
      <c r="CP69" s="403"/>
      <c r="CQ69" s="403"/>
      <c r="CR69" s="1"/>
    </row>
    <row r="70" spans="1:96" ht="16.350000000000001">
      <c r="A70" s="1"/>
      <c r="B70" s="61"/>
      <c r="C70" s="29"/>
      <c r="D70" s="61"/>
      <c r="E70" s="26"/>
      <c r="F70" s="29"/>
      <c r="G70" s="26"/>
      <c r="H70" s="28"/>
      <c r="I70" s="26"/>
      <c r="J70" s="26"/>
      <c r="K70" s="26"/>
      <c r="L70" s="26"/>
      <c r="M70" s="28"/>
      <c r="N70" s="26"/>
      <c r="O70" s="26"/>
      <c r="P70" s="26"/>
      <c r="Q70" s="26"/>
      <c r="R70" s="26"/>
      <c r="S70" s="26"/>
      <c r="T70" s="28"/>
      <c r="U70" s="26"/>
      <c r="V70" s="26"/>
      <c r="W70" s="26"/>
      <c r="X70" s="26"/>
      <c r="Y70" s="26"/>
      <c r="Z70" s="26"/>
      <c r="AA70" s="29"/>
      <c r="AB70" s="26"/>
      <c r="AC70" s="26"/>
      <c r="AD70" s="26"/>
      <c r="AE70" s="26"/>
      <c r="AF70" s="26"/>
      <c r="AG70" s="26"/>
      <c r="AH70" s="28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38"/>
      <c r="AT70" s="38"/>
      <c r="AU70" s="38"/>
      <c r="AV70" s="38"/>
      <c r="AW70" s="38"/>
      <c r="AX70" s="42"/>
      <c r="AY70" s="26"/>
      <c r="AZ70" s="40"/>
      <c r="BA70" s="30"/>
      <c r="BB70" s="406"/>
      <c r="BC70" s="406"/>
      <c r="BD70" s="30"/>
      <c r="BE70" s="90"/>
      <c r="BF70" s="65"/>
      <c r="BG70" s="65"/>
      <c r="BH70" s="88">
        <f t="shared" ca="1" si="1"/>
        <v>46122</v>
      </c>
      <c r="BI70" s="206">
        <f t="shared" ca="1" si="3"/>
        <v>1</v>
      </c>
      <c r="BJ70" s="501">
        <f t="shared" ca="1" si="0"/>
        <v>46122</v>
      </c>
      <c r="BK70" s="65"/>
      <c r="BL70" s="65"/>
      <c r="BM70" s="65"/>
      <c r="BN70" s="65"/>
      <c r="BO70" s="65"/>
      <c r="BP70" s="65"/>
      <c r="BQ70" s="65"/>
      <c r="BR70" s="206">
        <v>31</v>
      </c>
      <c r="BS70" s="65"/>
      <c r="BT70" s="61"/>
      <c r="BU70" s="61"/>
      <c r="BV70" s="61"/>
      <c r="BW70" s="403"/>
      <c r="BX70" s="403"/>
      <c r="BY70" s="403"/>
      <c r="BZ70" s="403"/>
      <c r="CA70" s="403"/>
      <c r="CB70" s="403"/>
      <c r="CC70" s="403"/>
      <c r="CD70" s="403"/>
      <c r="CE70" s="403"/>
      <c r="CF70" s="403"/>
      <c r="CG70" s="403"/>
      <c r="CH70" s="403"/>
      <c r="CI70" s="403"/>
      <c r="CJ70" s="403"/>
      <c r="CK70" s="403"/>
      <c r="CL70" s="403"/>
      <c r="CM70" s="403"/>
      <c r="CN70" s="403"/>
      <c r="CO70" s="403"/>
      <c r="CP70" s="403"/>
      <c r="CQ70" s="403"/>
      <c r="CR70" s="1"/>
    </row>
    <row r="71" spans="1:96" ht="16.350000000000001">
      <c r="A71" s="1"/>
      <c r="B71" s="61"/>
      <c r="C71" s="29"/>
      <c r="D71" s="61"/>
      <c r="E71" s="26"/>
      <c r="F71" s="29"/>
      <c r="G71" s="26"/>
      <c r="H71" s="28"/>
      <c r="I71" s="26"/>
      <c r="J71" s="26"/>
      <c r="K71" s="26"/>
      <c r="L71" s="26"/>
      <c r="M71" s="28"/>
      <c r="N71" s="26"/>
      <c r="O71" s="26"/>
      <c r="P71" s="26"/>
      <c r="Q71" s="26"/>
      <c r="R71" s="26"/>
      <c r="S71" s="26"/>
      <c r="T71" s="28"/>
      <c r="U71" s="26"/>
      <c r="V71" s="26"/>
      <c r="W71" s="26"/>
      <c r="X71" s="26"/>
      <c r="Y71" s="26"/>
      <c r="Z71" s="26"/>
      <c r="AA71" s="29"/>
      <c r="AB71" s="26"/>
      <c r="AC71" s="26"/>
      <c r="AD71" s="26"/>
      <c r="AE71" s="26"/>
      <c r="AF71" s="26"/>
      <c r="AG71" s="26"/>
      <c r="AH71" s="28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38"/>
      <c r="AT71" s="38"/>
      <c r="AU71" s="38"/>
      <c r="AV71" s="38"/>
      <c r="AW71" s="38"/>
      <c r="AX71" s="42"/>
      <c r="AY71" s="26"/>
      <c r="AZ71" s="40"/>
      <c r="BA71" s="30"/>
      <c r="BB71" s="406"/>
      <c r="BC71" s="406"/>
      <c r="BD71" s="30"/>
      <c r="BE71" s="90"/>
      <c r="BF71" s="65"/>
      <c r="BG71" s="65"/>
      <c r="BH71" s="88">
        <f t="shared" ca="1" si="1"/>
        <v>46123</v>
      </c>
      <c r="BI71" s="206">
        <f t="shared" ca="1" si="3"/>
        <v>1</v>
      </c>
      <c r="BJ71" s="501">
        <f t="shared" ca="1" si="0"/>
        <v>46123</v>
      </c>
      <c r="BK71" s="65"/>
      <c r="BL71" s="65"/>
      <c r="BM71" s="65"/>
      <c r="BN71" s="65"/>
      <c r="BO71" s="65"/>
      <c r="BP71" s="65"/>
      <c r="BQ71" s="65"/>
      <c r="BR71" s="206">
        <v>32</v>
      </c>
      <c r="BS71" s="65"/>
      <c r="BT71" s="61"/>
      <c r="BU71" s="61"/>
      <c r="BV71" s="61"/>
      <c r="BW71" s="403"/>
      <c r="BX71" s="403"/>
      <c r="BY71" s="403"/>
      <c r="BZ71" s="403"/>
      <c r="CA71" s="403"/>
      <c r="CB71" s="403"/>
      <c r="CC71" s="403"/>
      <c r="CD71" s="403"/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1"/>
    </row>
    <row r="72" spans="1:96" ht="16.350000000000001">
      <c r="A72" s="1"/>
      <c r="B72" s="61"/>
      <c r="C72" s="29"/>
      <c r="D72" s="61"/>
      <c r="E72" s="26"/>
      <c r="F72" s="29"/>
      <c r="G72" s="26"/>
      <c r="H72" s="29"/>
      <c r="I72" s="26"/>
      <c r="J72" s="26"/>
      <c r="K72" s="26"/>
      <c r="L72" s="26"/>
      <c r="M72" s="29"/>
      <c r="N72" s="26"/>
      <c r="O72" s="26"/>
      <c r="P72" s="26"/>
      <c r="Q72" s="26"/>
      <c r="R72" s="26"/>
      <c r="S72" s="26"/>
      <c r="T72" s="29"/>
      <c r="U72" s="26"/>
      <c r="V72" s="26"/>
      <c r="W72" s="26"/>
      <c r="X72" s="26"/>
      <c r="Y72" s="26"/>
      <c r="Z72" s="26"/>
      <c r="AA72" s="29"/>
      <c r="AB72" s="26"/>
      <c r="AC72" s="26"/>
      <c r="AD72" s="26"/>
      <c r="AE72" s="26"/>
      <c r="AF72" s="26"/>
      <c r="AG72" s="26"/>
      <c r="AH72" s="28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38"/>
      <c r="AT72" s="38"/>
      <c r="AU72" s="38"/>
      <c r="AV72" s="38"/>
      <c r="AW72" s="43"/>
      <c r="AX72" s="42"/>
      <c r="AY72" s="26"/>
      <c r="AZ72" s="40"/>
      <c r="BA72" s="30"/>
      <c r="BB72" s="406"/>
      <c r="BC72" s="406"/>
      <c r="BD72" s="30"/>
      <c r="BE72" s="90"/>
      <c r="BF72" s="65"/>
      <c r="BG72" s="65"/>
      <c r="BH72" s="88">
        <f t="shared" ca="1" si="1"/>
        <v>46124</v>
      </c>
      <c r="BI72" s="206">
        <f t="shared" ca="1" si="3"/>
        <v>1</v>
      </c>
      <c r="BJ72" s="501">
        <f t="shared" ca="1" si="0"/>
        <v>46124</v>
      </c>
      <c r="BK72" s="65"/>
      <c r="BL72" s="65"/>
      <c r="BM72" s="65"/>
      <c r="BN72" s="65"/>
      <c r="BO72" s="65"/>
      <c r="BP72" s="65"/>
      <c r="BQ72" s="65"/>
      <c r="BR72" s="206">
        <v>33</v>
      </c>
      <c r="BS72" s="65"/>
      <c r="BT72" s="61"/>
      <c r="BU72" s="61"/>
      <c r="BV72" s="61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403"/>
      <c r="CL72" s="403"/>
      <c r="CM72" s="403"/>
      <c r="CN72" s="403"/>
      <c r="CO72" s="403"/>
      <c r="CP72" s="403"/>
      <c r="CQ72" s="403"/>
      <c r="CR72" s="1"/>
    </row>
    <row r="73" spans="1:96" ht="16.350000000000001">
      <c r="A73" s="1"/>
      <c r="B73" s="61"/>
      <c r="C73" s="26"/>
      <c r="D73" s="61"/>
      <c r="E73" s="26"/>
      <c r="F73" s="26"/>
      <c r="G73" s="26"/>
      <c r="H73" s="29"/>
      <c r="I73" s="26"/>
      <c r="J73" s="26"/>
      <c r="K73" s="26"/>
      <c r="L73" s="26"/>
      <c r="M73" s="29"/>
      <c r="N73" s="26"/>
      <c r="O73" s="26"/>
      <c r="P73" s="26"/>
      <c r="Q73" s="26"/>
      <c r="R73" s="26"/>
      <c r="S73" s="26"/>
      <c r="T73" s="29"/>
      <c r="U73" s="26"/>
      <c r="V73" s="26"/>
      <c r="W73" s="26"/>
      <c r="X73" s="26"/>
      <c r="Y73" s="26"/>
      <c r="Z73" s="26"/>
      <c r="AA73" s="29"/>
      <c r="AB73" s="26"/>
      <c r="AC73" s="26"/>
      <c r="AD73" s="26"/>
      <c r="AE73" s="26"/>
      <c r="AF73" s="26"/>
      <c r="AG73" s="26"/>
      <c r="AH73" s="28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30"/>
      <c r="AT73" s="38"/>
      <c r="AU73" s="38"/>
      <c r="AV73" s="38"/>
      <c r="AW73" s="43"/>
      <c r="AX73" s="42"/>
      <c r="AY73" s="26"/>
      <c r="AZ73" s="30"/>
      <c r="BA73" s="30"/>
      <c r="BB73" s="406"/>
      <c r="BC73" s="406"/>
      <c r="BD73" s="30"/>
      <c r="BE73" s="90"/>
      <c r="BF73" s="65"/>
      <c r="BG73" s="65"/>
      <c r="BH73" s="88">
        <f t="shared" ca="1" si="1"/>
        <v>46125</v>
      </c>
      <c r="BI73" s="206" t="str">
        <f t="shared" ca="1" si="3"/>
        <v/>
      </c>
      <c r="BJ73" s="501" t="str">
        <f t="shared" ca="1" si="0"/>
        <v/>
      </c>
      <c r="BK73" s="65"/>
      <c r="BL73" s="65"/>
      <c r="BM73" s="65"/>
      <c r="BN73" s="65"/>
      <c r="BO73" s="65"/>
      <c r="BP73" s="65"/>
      <c r="BQ73" s="65"/>
      <c r="BR73" s="206">
        <v>34</v>
      </c>
      <c r="BS73" s="65"/>
      <c r="BT73" s="61"/>
      <c r="BU73" s="61"/>
      <c r="BV73" s="61"/>
      <c r="BW73" s="403"/>
      <c r="BX73" s="403"/>
      <c r="BY73" s="403"/>
      <c r="BZ73" s="403"/>
      <c r="CA73" s="403"/>
      <c r="CB73" s="403"/>
      <c r="CC73" s="403"/>
      <c r="CD73" s="403"/>
      <c r="CE73" s="403"/>
      <c r="CF73" s="403"/>
      <c r="CG73" s="403"/>
      <c r="CH73" s="403"/>
      <c r="CI73" s="403"/>
      <c r="CJ73" s="403"/>
      <c r="CK73" s="403"/>
      <c r="CL73" s="403"/>
      <c r="CM73" s="403"/>
      <c r="CN73" s="403"/>
      <c r="CO73" s="403"/>
      <c r="CP73" s="403"/>
      <c r="CQ73" s="403"/>
      <c r="CR73" s="1"/>
    </row>
    <row r="74" spans="1:96" ht="16.350000000000001">
      <c r="A74" s="1"/>
      <c r="B74" s="61"/>
      <c r="C74" s="28"/>
      <c r="D74" s="61"/>
      <c r="E74" s="26"/>
      <c r="F74" s="28"/>
      <c r="G74" s="26"/>
      <c r="H74" s="29"/>
      <c r="I74" s="26"/>
      <c r="J74" s="26"/>
      <c r="K74" s="26"/>
      <c r="L74" s="26"/>
      <c r="M74" s="29"/>
      <c r="N74" s="26"/>
      <c r="O74" s="26"/>
      <c r="P74" s="26"/>
      <c r="Q74" s="26"/>
      <c r="R74" s="26"/>
      <c r="S74" s="26"/>
      <c r="T74" s="29"/>
      <c r="U74" s="26"/>
      <c r="V74" s="26"/>
      <c r="W74" s="26"/>
      <c r="X74" s="26"/>
      <c r="Y74" s="26"/>
      <c r="Z74" s="26"/>
      <c r="AA74" s="29"/>
      <c r="AB74" s="26"/>
      <c r="AC74" s="26"/>
      <c r="AD74" s="26"/>
      <c r="AE74" s="26"/>
      <c r="AF74" s="26"/>
      <c r="AG74" s="26"/>
      <c r="AH74" s="28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30"/>
      <c r="AT74" s="38"/>
      <c r="AU74" s="38"/>
      <c r="AV74" s="38"/>
      <c r="AW74" s="43"/>
      <c r="AX74" s="30"/>
      <c r="AY74" s="26"/>
      <c r="AZ74" s="30"/>
      <c r="BA74" s="30"/>
      <c r="BB74" s="406"/>
      <c r="BC74" s="406"/>
      <c r="BD74" s="30"/>
      <c r="BE74" s="90"/>
      <c r="BF74" s="65"/>
      <c r="BG74" s="65"/>
      <c r="BH74" s="88">
        <f t="shared" ca="1" si="1"/>
        <v>46126</v>
      </c>
      <c r="BI74" s="206">
        <f t="shared" ca="1" si="3"/>
        <v>1</v>
      </c>
      <c r="BJ74" s="501">
        <f t="shared" ca="1" si="0"/>
        <v>46126</v>
      </c>
      <c r="BK74" s="65"/>
      <c r="BL74" s="65"/>
      <c r="BM74" s="65"/>
      <c r="BN74" s="65"/>
      <c r="BO74" s="65"/>
      <c r="BP74" s="65"/>
      <c r="BQ74" s="65"/>
      <c r="BR74" s="206">
        <v>35</v>
      </c>
      <c r="BS74" s="65"/>
      <c r="BT74" s="61"/>
      <c r="BU74" s="61"/>
      <c r="BV74" s="61"/>
      <c r="BW74" s="403"/>
      <c r="BX74" s="403"/>
      <c r="BY74" s="403"/>
      <c r="BZ74" s="403"/>
      <c r="CA74" s="403"/>
      <c r="CB74" s="403"/>
      <c r="CC74" s="403"/>
      <c r="CD74" s="403"/>
      <c r="CE74" s="403"/>
      <c r="CF74" s="403"/>
      <c r="CG74" s="403"/>
      <c r="CH74" s="403"/>
      <c r="CI74" s="403"/>
      <c r="CJ74" s="403"/>
      <c r="CK74" s="403"/>
      <c r="CL74" s="403"/>
      <c r="CM74" s="403"/>
      <c r="CN74" s="403"/>
      <c r="CO74" s="403"/>
      <c r="CP74" s="403"/>
      <c r="CQ74" s="403"/>
      <c r="CR74" s="1"/>
    </row>
    <row r="75" spans="1:96" ht="16.350000000000001">
      <c r="A75" s="1"/>
      <c r="B75" s="61"/>
      <c r="C75" s="28"/>
      <c r="D75" s="61"/>
      <c r="E75" s="26"/>
      <c r="F75" s="28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9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43"/>
      <c r="AX75" s="26"/>
      <c r="AY75" s="26"/>
      <c r="AZ75" s="26"/>
      <c r="BA75" s="26"/>
      <c r="BB75" s="404"/>
      <c r="BC75" s="404"/>
      <c r="BD75" s="30"/>
      <c r="BE75" s="85"/>
      <c r="BF75" s="65"/>
      <c r="BG75" s="65"/>
      <c r="BH75" s="88">
        <f t="shared" ca="1" si="1"/>
        <v>46127</v>
      </c>
      <c r="BI75" s="206">
        <f t="shared" ca="1" si="3"/>
        <v>1</v>
      </c>
      <c r="BJ75" s="501">
        <f t="shared" ca="1" si="0"/>
        <v>46127</v>
      </c>
      <c r="BK75" s="65"/>
      <c r="BL75" s="65"/>
      <c r="BM75" s="65"/>
      <c r="BN75" s="65"/>
      <c r="BO75" s="65"/>
      <c r="BP75" s="65"/>
      <c r="BQ75" s="65"/>
      <c r="BR75" s="206">
        <v>36</v>
      </c>
      <c r="BS75" s="65"/>
      <c r="BT75" s="61"/>
      <c r="BU75" s="61"/>
      <c r="BV75" s="61"/>
      <c r="BW75" s="403"/>
      <c r="BX75" s="403"/>
      <c r="BY75" s="403"/>
      <c r="BZ75" s="403"/>
      <c r="CA75" s="403"/>
      <c r="CB75" s="403"/>
      <c r="CC75" s="403"/>
      <c r="CD75" s="403"/>
      <c r="CE75" s="403"/>
      <c r="CF75" s="403"/>
      <c r="CG75" s="403"/>
      <c r="CH75" s="403"/>
      <c r="CI75" s="403"/>
      <c r="CJ75" s="403"/>
      <c r="CK75" s="403"/>
      <c r="CL75" s="403"/>
      <c r="CM75" s="403"/>
      <c r="CN75" s="403"/>
      <c r="CO75" s="403"/>
      <c r="CP75" s="403"/>
      <c r="CQ75" s="403"/>
      <c r="CR75" s="1"/>
    </row>
    <row r="76" spans="1:96" ht="16.350000000000001">
      <c r="A76" s="1"/>
      <c r="B76" s="61"/>
      <c r="C76" s="26"/>
      <c r="D76" s="61"/>
      <c r="E76" s="26"/>
      <c r="F76" s="26"/>
      <c r="G76" s="26"/>
      <c r="H76" s="28"/>
      <c r="I76" s="26"/>
      <c r="J76" s="26"/>
      <c r="K76" s="26"/>
      <c r="L76" s="26"/>
      <c r="M76" s="28"/>
      <c r="N76" s="26"/>
      <c r="O76" s="26"/>
      <c r="P76" s="26"/>
      <c r="Q76" s="26"/>
      <c r="R76" s="26"/>
      <c r="S76" s="26"/>
      <c r="T76" s="28"/>
      <c r="U76" s="26"/>
      <c r="V76" s="26"/>
      <c r="W76" s="26"/>
      <c r="X76" s="26"/>
      <c r="Y76" s="26"/>
      <c r="Z76" s="26"/>
      <c r="AA76" s="29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43"/>
      <c r="AX76" s="26"/>
      <c r="AY76" s="26"/>
      <c r="AZ76" s="26"/>
      <c r="BA76" s="26"/>
      <c r="BB76" s="404"/>
      <c r="BC76" s="404"/>
      <c r="BD76" s="30"/>
      <c r="BE76" s="85"/>
      <c r="BF76" s="65"/>
      <c r="BG76" s="65"/>
      <c r="BH76" s="88">
        <f t="shared" ca="1" si="1"/>
        <v>46128</v>
      </c>
      <c r="BI76" s="206">
        <f t="shared" ca="1" si="3"/>
        <v>1</v>
      </c>
      <c r="BJ76" s="501">
        <f t="shared" ca="1" si="0"/>
        <v>46128</v>
      </c>
      <c r="BK76" s="65"/>
      <c r="BL76" s="65"/>
      <c r="BM76" s="65"/>
      <c r="BN76" s="65"/>
      <c r="BO76" s="65"/>
      <c r="BP76" s="65"/>
      <c r="BQ76" s="65"/>
      <c r="BR76" s="206">
        <v>37</v>
      </c>
      <c r="BS76" s="65"/>
      <c r="BT76" s="61"/>
      <c r="BU76" s="61"/>
      <c r="BV76" s="61"/>
      <c r="BW76" s="403"/>
      <c r="BX76" s="403"/>
      <c r="BY76" s="403"/>
      <c r="BZ76" s="403"/>
      <c r="CA76" s="403"/>
      <c r="CB76" s="403"/>
      <c r="CC76" s="403"/>
      <c r="CD76" s="403"/>
      <c r="CE76" s="403"/>
      <c r="CF76" s="403"/>
      <c r="CG76" s="403"/>
      <c r="CH76" s="403"/>
      <c r="CI76" s="403"/>
      <c r="CJ76" s="403"/>
      <c r="CK76" s="403"/>
      <c r="CL76" s="403"/>
      <c r="CM76" s="403"/>
      <c r="CN76" s="403"/>
      <c r="CO76" s="403"/>
      <c r="CP76" s="403"/>
      <c r="CQ76" s="403"/>
      <c r="CR76" s="1"/>
    </row>
    <row r="77" spans="1:96" ht="16.350000000000001">
      <c r="A77" s="1"/>
      <c r="B77" s="61"/>
      <c r="C77" s="29"/>
      <c r="D77" s="61"/>
      <c r="E77" s="26"/>
      <c r="F77" s="29"/>
      <c r="G77" s="26"/>
      <c r="H77" s="28"/>
      <c r="I77" s="26"/>
      <c r="J77" s="26"/>
      <c r="K77" s="26"/>
      <c r="L77" s="26"/>
      <c r="M77" s="28"/>
      <c r="N77" s="26"/>
      <c r="O77" s="26"/>
      <c r="P77" s="26"/>
      <c r="Q77" s="26"/>
      <c r="R77" s="26"/>
      <c r="S77" s="26"/>
      <c r="T77" s="28"/>
      <c r="U77" s="26"/>
      <c r="V77" s="26"/>
      <c r="W77" s="26"/>
      <c r="X77" s="26"/>
      <c r="Y77" s="26"/>
      <c r="Z77" s="26"/>
      <c r="AA77" s="29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38"/>
      <c r="AT77" s="30"/>
      <c r="AU77" s="30"/>
      <c r="AV77" s="30"/>
      <c r="AW77" s="43"/>
      <c r="AX77" s="26"/>
      <c r="AY77" s="26"/>
      <c r="AZ77" s="40"/>
      <c r="BA77" s="30"/>
      <c r="BB77" s="406"/>
      <c r="BC77" s="406"/>
      <c r="BD77" s="30"/>
      <c r="BE77" s="85"/>
      <c r="BF77" s="65"/>
      <c r="BG77" s="65"/>
      <c r="BH77" s="88">
        <f t="shared" ca="1" si="1"/>
        <v>46129</v>
      </c>
      <c r="BI77" s="206">
        <f t="shared" ca="1" si="3"/>
        <v>1</v>
      </c>
      <c r="BJ77" s="501">
        <f t="shared" ca="1" si="0"/>
        <v>46129</v>
      </c>
      <c r="BK77" s="65"/>
      <c r="BL77" s="65"/>
      <c r="BM77" s="65"/>
      <c r="BN77" s="65"/>
      <c r="BO77" s="65"/>
      <c r="BP77" s="65"/>
      <c r="BQ77" s="65"/>
      <c r="BR77" s="206">
        <v>38</v>
      </c>
      <c r="BS77" s="65"/>
      <c r="BT77" s="61"/>
      <c r="BU77" s="61"/>
      <c r="BV77" s="61"/>
      <c r="BW77" s="403"/>
      <c r="BX77" s="403"/>
      <c r="BY77" s="403"/>
      <c r="BZ77" s="403"/>
      <c r="CA77" s="403"/>
      <c r="CB77" s="403"/>
      <c r="CC77" s="403"/>
      <c r="CD77" s="403"/>
      <c r="CE77" s="403"/>
      <c r="CF77" s="403"/>
      <c r="CG77" s="403"/>
      <c r="CH77" s="403"/>
      <c r="CI77" s="403"/>
      <c r="CJ77" s="403"/>
      <c r="CK77" s="403"/>
      <c r="CL77" s="403"/>
      <c r="CM77" s="403"/>
      <c r="CN77" s="403"/>
      <c r="CO77" s="403"/>
      <c r="CP77" s="403"/>
      <c r="CQ77" s="403"/>
      <c r="CR77" s="1"/>
    </row>
    <row r="78" spans="1:96" ht="16.350000000000001">
      <c r="A78" s="1"/>
      <c r="B78" s="61"/>
      <c r="C78" s="29"/>
      <c r="D78" s="61"/>
      <c r="E78" s="26"/>
      <c r="F78" s="29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9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38"/>
      <c r="AT78" s="30"/>
      <c r="AU78" s="30"/>
      <c r="AV78" s="30"/>
      <c r="AW78" s="43"/>
      <c r="AX78" s="26"/>
      <c r="AY78" s="26"/>
      <c r="AZ78" s="40"/>
      <c r="BA78" s="30"/>
      <c r="BB78" s="406"/>
      <c r="BC78" s="406"/>
      <c r="BD78" s="30"/>
      <c r="BE78" s="85"/>
      <c r="BF78" s="65"/>
      <c r="BG78" s="65"/>
      <c r="BH78" s="88">
        <f t="shared" ca="1" si="1"/>
        <v>46130</v>
      </c>
      <c r="BI78" s="206">
        <f t="shared" ca="1" si="3"/>
        <v>1</v>
      </c>
      <c r="BJ78" s="501">
        <f t="shared" ca="1" si="0"/>
        <v>46130</v>
      </c>
      <c r="BK78" s="65"/>
      <c r="BL78" s="65"/>
      <c r="BM78" s="65"/>
      <c r="BN78" s="65"/>
      <c r="BO78" s="65"/>
      <c r="BP78" s="65"/>
      <c r="BQ78" s="65"/>
      <c r="BR78" s="206">
        <v>39</v>
      </c>
      <c r="BS78" s="65"/>
      <c r="BT78" s="61"/>
      <c r="BU78" s="61"/>
      <c r="BV78" s="61"/>
      <c r="BW78" s="403"/>
      <c r="BX78" s="403"/>
      <c r="BY78" s="403"/>
      <c r="BZ78" s="403"/>
      <c r="CA78" s="403"/>
      <c r="CB78" s="403"/>
      <c r="CC78" s="403"/>
      <c r="CD78" s="403"/>
      <c r="CE78" s="403"/>
      <c r="CF78" s="403"/>
      <c r="CG78" s="403"/>
      <c r="CH78" s="403"/>
      <c r="CI78" s="403"/>
      <c r="CJ78" s="403"/>
      <c r="CK78" s="403"/>
      <c r="CL78" s="403"/>
      <c r="CM78" s="403"/>
      <c r="CN78" s="403"/>
      <c r="CO78" s="403"/>
      <c r="CP78" s="403"/>
      <c r="CQ78" s="403"/>
      <c r="CR78" s="1"/>
    </row>
    <row r="79" spans="1:96" ht="16.350000000000001">
      <c r="A79" s="1"/>
      <c r="B79" s="61"/>
      <c r="C79" s="29"/>
      <c r="D79" s="61"/>
      <c r="E79" s="26"/>
      <c r="F79" s="29"/>
      <c r="G79" s="26"/>
      <c r="H79" s="29"/>
      <c r="I79" s="26"/>
      <c r="J79" s="26"/>
      <c r="K79" s="26"/>
      <c r="L79" s="26"/>
      <c r="M79" s="29"/>
      <c r="N79" s="26"/>
      <c r="O79" s="26"/>
      <c r="P79" s="26"/>
      <c r="Q79" s="26"/>
      <c r="R79" s="26"/>
      <c r="S79" s="26"/>
      <c r="T79" s="29"/>
      <c r="U79" s="26"/>
      <c r="V79" s="26"/>
      <c r="W79" s="26"/>
      <c r="X79" s="26"/>
      <c r="Y79" s="26"/>
      <c r="Z79" s="26"/>
      <c r="AA79" s="29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38"/>
      <c r="AT79" s="38"/>
      <c r="AU79" s="38"/>
      <c r="AV79" s="38"/>
      <c r="AW79" s="43"/>
      <c r="AX79" s="26"/>
      <c r="AY79" s="26"/>
      <c r="AZ79" s="40"/>
      <c r="BA79" s="30"/>
      <c r="BB79" s="406"/>
      <c r="BC79" s="406"/>
      <c r="BD79" s="30"/>
      <c r="BE79" s="85"/>
      <c r="BF79" s="65"/>
      <c r="BG79" s="65"/>
      <c r="BH79" s="88">
        <f t="shared" ca="1" si="1"/>
        <v>46131</v>
      </c>
      <c r="BI79" s="206">
        <f t="shared" ca="1" si="3"/>
        <v>1</v>
      </c>
      <c r="BJ79" s="501">
        <f t="shared" ca="1" si="0"/>
        <v>46131</v>
      </c>
      <c r="BK79" s="65"/>
      <c r="BL79" s="65"/>
      <c r="BM79" s="65"/>
      <c r="BN79" s="65"/>
      <c r="BO79" s="65"/>
      <c r="BP79" s="65"/>
      <c r="BQ79" s="65"/>
      <c r="BR79" s="206">
        <v>40</v>
      </c>
      <c r="BS79" s="65"/>
      <c r="BT79" s="61"/>
      <c r="BU79" s="61"/>
      <c r="BV79" s="61"/>
      <c r="BW79" s="403"/>
      <c r="BX79" s="403"/>
      <c r="BY79" s="403"/>
      <c r="BZ79" s="403"/>
      <c r="CA79" s="403"/>
      <c r="CB79" s="403"/>
      <c r="CC79" s="403"/>
      <c r="CD79" s="403"/>
      <c r="CE79" s="403"/>
      <c r="CF79" s="403"/>
      <c r="CG79" s="403"/>
      <c r="CH79" s="403"/>
      <c r="CI79" s="403"/>
      <c r="CJ79" s="403"/>
      <c r="CK79" s="403"/>
      <c r="CL79" s="403"/>
      <c r="CM79" s="403"/>
      <c r="CN79" s="403"/>
      <c r="CO79" s="403"/>
      <c r="CP79" s="403"/>
      <c r="CQ79" s="403"/>
      <c r="CR79" s="1"/>
    </row>
    <row r="80" spans="1:96" ht="16.350000000000001">
      <c r="A80" s="1"/>
      <c r="B80" s="61"/>
      <c r="C80" s="29"/>
      <c r="D80" s="61"/>
      <c r="E80" s="26"/>
      <c r="F80" s="29"/>
      <c r="G80" s="26"/>
      <c r="H80" s="29"/>
      <c r="I80" s="26"/>
      <c r="J80" s="26"/>
      <c r="K80" s="26"/>
      <c r="L80" s="26"/>
      <c r="M80" s="29"/>
      <c r="N80" s="26"/>
      <c r="O80" s="26"/>
      <c r="P80" s="26"/>
      <c r="Q80" s="26"/>
      <c r="R80" s="26"/>
      <c r="S80" s="26"/>
      <c r="T80" s="29"/>
      <c r="U80" s="26"/>
      <c r="V80" s="26"/>
      <c r="W80" s="26"/>
      <c r="X80" s="26"/>
      <c r="Y80" s="26"/>
      <c r="Z80" s="26"/>
      <c r="AA80" s="29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50"/>
      <c r="AT80" s="38"/>
      <c r="AU80" s="38"/>
      <c r="AV80" s="38"/>
      <c r="AW80" s="43"/>
      <c r="AX80" s="26"/>
      <c r="AY80" s="26"/>
      <c r="AZ80" s="44"/>
      <c r="BA80" s="30"/>
      <c r="BB80" s="406"/>
      <c r="BC80" s="406"/>
      <c r="BD80" s="30"/>
      <c r="BE80" s="85"/>
      <c r="BF80" s="65"/>
      <c r="BG80" s="65"/>
      <c r="BH80" s="88">
        <f t="shared" ca="1" si="1"/>
        <v>46132</v>
      </c>
      <c r="BI80" s="206" t="str">
        <f t="shared" ca="1" si="3"/>
        <v/>
      </c>
      <c r="BJ80" s="501" t="str">
        <f t="shared" ca="1" si="0"/>
        <v/>
      </c>
      <c r="BK80" s="65"/>
      <c r="BL80" s="65"/>
      <c r="BM80" s="65"/>
      <c r="BN80" s="65"/>
      <c r="BO80" s="65"/>
      <c r="BP80" s="65"/>
      <c r="BQ80" s="65"/>
      <c r="BR80" s="206">
        <v>41</v>
      </c>
      <c r="BS80" s="65"/>
      <c r="BT80" s="61"/>
      <c r="BU80" s="61"/>
      <c r="BV80" s="61"/>
      <c r="BW80" s="403"/>
      <c r="BX80" s="403"/>
      <c r="BY80" s="403"/>
      <c r="BZ80" s="403"/>
      <c r="CA80" s="403"/>
      <c r="CB80" s="403"/>
      <c r="CC80" s="403"/>
      <c r="CD80" s="403"/>
      <c r="CE80" s="403"/>
      <c r="CF80" s="403"/>
      <c r="CG80" s="403"/>
      <c r="CH80" s="403"/>
      <c r="CI80" s="403"/>
      <c r="CJ80" s="403"/>
      <c r="CK80" s="403"/>
      <c r="CL80" s="403"/>
      <c r="CM80" s="403"/>
      <c r="CN80" s="403"/>
      <c r="CO80" s="403"/>
      <c r="CP80" s="403"/>
      <c r="CQ80" s="403"/>
      <c r="CR80" s="1"/>
    </row>
    <row r="81" spans="1:96" ht="16.350000000000001">
      <c r="A81" s="1"/>
      <c r="B81" s="61"/>
      <c r="C81" s="29"/>
      <c r="D81" s="61"/>
      <c r="E81" s="26"/>
      <c r="F81" s="29"/>
      <c r="G81" s="26"/>
      <c r="H81" s="29"/>
      <c r="I81" s="26"/>
      <c r="J81" s="26"/>
      <c r="K81" s="26"/>
      <c r="L81" s="26"/>
      <c r="M81" s="29"/>
      <c r="N81" s="26"/>
      <c r="O81" s="26"/>
      <c r="P81" s="26"/>
      <c r="Q81" s="26"/>
      <c r="R81" s="26"/>
      <c r="S81" s="26"/>
      <c r="T81" s="29"/>
      <c r="U81" s="26"/>
      <c r="V81" s="26"/>
      <c r="W81" s="26"/>
      <c r="X81" s="26"/>
      <c r="Y81" s="26"/>
      <c r="Z81" s="26"/>
      <c r="AA81" s="29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50"/>
      <c r="AT81" s="38"/>
      <c r="AU81" s="38"/>
      <c r="AV81" s="38"/>
      <c r="AW81" s="43"/>
      <c r="AX81" s="26"/>
      <c r="AY81" s="26"/>
      <c r="AZ81" s="44"/>
      <c r="BA81" s="30"/>
      <c r="BB81" s="406"/>
      <c r="BC81" s="406"/>
      <c r="BD81" s="30"/>
      <c r="BE81" s="85"/>
      <c r="BF81" s="65"/>
      <c r="BG81" s="65"/>
      <c r="BH81" s="88">
        <f t="shared" ca="1" si="1"/>
        <v>46133</v>
      </c>
      <c r="BI81" s="206">
        <f t="shared" ca="1" si="3"/>
        <v>1</v>
      </c>
      <c r="BJ81" s="501">
        <f t="shared" ca="1" si="0"/>
        <v>46133</v>
      </c>
      <c r="BK81" s="65"/>
      <c r="BL81" s="65"/>
      <c r="BM81" s="65"/>
      <c r="BN81" s="65"/>
      <c r="BO81" s="65"/>
      <c r="BP81" s="65"/>
      <c r="BQ81" s="65"/>
      <c r="BR81" s="206">
        <v>42</v>
      </c>
      <c r="BS81" s="65"/>
      <c r="BT81" s="61"/>
      <c r="BU81" s="61"/>
      <c r="BV81" s="61"/>
      <c r="BW81" s="403"/>
      <c r="BX81" s="403"/>
      <c r="BY81" s="403"/>
      <c r="BZ81" s="403"/>
      <c r="CA81" s="403"/>
      <c r="CB81" s="403"/>
      <c r="CC81" s="403"/>
      <c r="CD81" s="403"/>
      <c r="CE81" s="403"/>
      <c r="CF81" s="403"/>
      <c r="CG81" s="403"/>
      <c r="CH81" s="403"/>
      <c r="CI81" s="403"/>
      <c r="CJ81" s="403"/>
      <c r="CK81" s="403"/>
      <c r="CL81" s="403"/>
      <c r="CM81" s="403"/>
      <c r="CN81" s="403"/>
      <c r="CO81" s="403"/>
      <c r="CP81" s="403"/>
      <c r="CQ81" s="403"/>
      <c r="CR81" s="1"/>
    </row>
    <row r="82" spans="1:96" ht="16.350000000000001">
      <c r="A82" s="1"/>
      <c r="B82" s="61"/>
      <c r="C82" s="29"/>
      <c r="D82" s="61"/>
      <c r="E82" s="26"/>
      <c r="F82" s="29"/>
      <c r="G82" s="26"/>
      <c r="H82" s="29"/>
      <c r="I82" s="26"/>
      <c r="J82" s="26"/>
      <c r="K82" s="26"/>
      <c r="L82" s="26"/>
      <c r="M82" s="29"/>
      <c r="N82" s="26"/>
      <c r="O82" s="26"/>
      <c r="P82" s="26"/>
      <c r="Q82" s="26"/>
      <c r="R82" s="26"/>
      <c r="S82" s="26"/>
      <c r="T82" s="29"/>
      <c r="U82" s="26"/>
      <c r="V82" s="26"/>
      <c r="W82" s="26"/>
      <c r="X82" s="26"/>
      <c r="Y82" s="26"/>
      <c r="Z82" s="26"/>
      <c r="AA82" s="29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50"/>
      <c r="AT82" s="38"/>
      <c r="AU82" s="38"/>
      <c r="AV82" s="38"/>
      <c r="AW82" s="43"/>
      <c r="AX82" s="26"/>
      <c r="AY82" s="26"/>
      <c r="AZ82" s="44"/>
      <c r="BA82" s="30"/>
      <c r="BB82" s="406"/>
      <c r="BC82" s="406"/>
      <c r="BD82" s="30"/>
      <c r="BE82" s="85"/>
      <c r="BF82" s="65"/>
      <c r="BG82" s="65"/>
      <c r="BH82" s="88">
        <f t="shared" ca="1" si="1"/>
        <v>46134</v>
      </c>
      <c r="BI82" s="206">
        <f t="shared" ca="1" si="3"/>
        <v>1</v>
      </c>
      <c r="BJ82" s="501">
        <f t="shared" ca="1" si="0"/>
        <v>46134</v>
      </c>
      <c r="BK82" s="65"/>
      <c r="BL82" s="65"/>
      <c r="BM82" s="65"/>
      <c r="BN82" s="65"/>
      <c r="BO82" s="65"/>
      <c r="BP82" s="65"/>
      <c r="BQ82" s="65"/>
      <c r="BR82" s="206">
        <v>43</v>
      </c>
      <c r="BS82" s="65"/>
      <c r="BT82" s="61"/>
      <c r="BU82" s="61"/>
      <c r="BV82" s="61"/>
      <c r="BW82" s="403"/>
      <c r="BX82" s="403"/>
      <c r="BY82" s="403"/>
      <c r="BZ82" s="403"/>
      <c r="CA82" s="403"/>
      <c r="CB82" s="403"/>
      <c r="CC82" s="403"/>
      <c r="CD82" s="403"/>
      <c r="CE82" s="403"/>
      <c r="CF82" s="403"/>
      <c r="CG82" s="403"/>
      <c r="CH82" s="403"/>
      <c r="CI82" s="403"/>
      <c r="CJ82" s="403"/>
      <c r="CK82" s="403"/>
      <c r="CL82" s="403"/>
      <c r="CM82" s="403"/>
      <c r="CN82" s="403"/>
      <c r="CO82" s="403"/>
      <c r="CP82" s="403"/>
      <c r="CQ82" s="403"/>
      <c r="CR82" s="1"/>
    </row>
    <row r="83" spans="1:96" ht="16.350000000000001">
      <c r="A83" s="1"/>
      <c r="B83" s="61"/>
      <c r="C83" s="29"/>
      <c r="D83" s="61"/>
      <c r="E83" s="26"/>
      <c r="F83" s="29"/>
      <c r="G83" s="26"/>
      <c r="H83" s="29"/>
      <c r="I83" s="26"/>
      <c r="J83" s="26"/>
      <c r="K83" s="26"/>
      <c r="L83" s="26"/>
      <c r="M83" s="29"/>
      <c r="N83" s="26"/>
      <c r="O83" s="26"/>
      <c r="P83" s="26"/>
      <c r="Q83" s="26"/>
      <c r="R83" s="26"/>
      <c r="S83" s="26"/>
      <c r="T83" s="29"/>
      <c r="U83" s="26"/>
      <c r="V83" s="26"/>
      <c r="W83" s="26"/>
      <c r="X83" s="26"/>
      <c r="Y83" s="26"/>
      <c r="Z83" s="26"/>
      <c r="AA83" s="29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50"/>
      <c r="AT83" s="38"/>
      <c r="AU83" s="38"/>
      <c r="AV83" s="38"/>
      <c r="AW83" s="30"/>
      <c r="AX83" s="26"/>
      <c r="AY83" s="26"/>
      <c r="AZ83" s="44"/>
      <c r="BA83" s="30"/>
      <c r="BB83" s="406"/>
      <c r="BC83" s="406"/>
      <c r="BD83" s="30"/>
      <c r="BE83" s="85"/>
      <c r="BF83" s="65"/>
      <c r="BG83" s="65"/>
      <c r="BH83" s="88">
        <f t="shared" ca="1" si="1"/>
        <v>46135</v>
      </c>
      <c r="BI83" s="206">
        <f t="shared" ca="1" si="3"/>
        <v>1</v>
      </c>
      <c r="BJ83" s="501">
        <f t="shared" ca="1" si="0"/>
        <v>46135</v>
      </c>
      <c r="BK83" s="65"/>
      <c r="BL83" s="65"/>
      <c r="BM83" s="65"/>
      <c r="BN83" s="65"/>
      <c r="BO83" s="65"/>
      <c r="BP83" s="65"/>
      <c r="BQ83" s="65"/>
      <c r="BR83" s="206">
        <v>44</v>
      </c>
      <c r="BS83" s="65"/>
      <c r="BT83" s="61"/>
      <c r="BU83" s="61"/>
      <c r="BV83" s="61"/>
      <c r="BW83" s="403"/>
      <c r="BX83" s="403"/>
      <c r="BY83" s="403"/>
      <c r="BZ83" s="403"/>
      <c r="CA83" s="403"/>
      <c r="CB83" s="403"/>
      <c r="CC83" s="403"/>
      <c r="CD83" s="403"/>
      <c r="CE83" s="403"/>
      <c r="CF83" s="403"/>
      <c r="CG83" s="403"/>
      <c r="CH83" s="403"/>
      <c r="CI83" s="403"/>
      <c r="CJ83" s="403"/>
      <c r="CK83" s="403"/>
      <c r="CL83" s="403"/>
      <c r="CM83" s="403"/>
      <c r="CN83" s="403"/>
      <c r="CO83" s="403"/>
      <c r="CP83" s="403"/>
      <c r="CQ83" s="403"/>
      <c r="CR83" s="1"/>
    </row>
    <row r="84" spans="1:96" ht="16.350000000000001">
      <c r="A84" s="1"/>
      <c r="B84" s="61"/>
      <c r="C84" s="29"/>
      <c r="D84" s="61"/>
      <c r="E84" s="26"/>
      <c r="F84" s="29"/>
      <c r="G84" s="26"/>
      <c r="H84" s="29"/>
      <c r="I84" s="26"/>
      <c r="J84" s="26"/>
      <c r="K84" s="26"/>
      <c r="L84" s="26"/>
      <c r="M84" s="29"/>
      <c r="N84" s="26"/>
      <c r="O84" s="26"/>
      <c r="P84" s="26"/>
      <c r="Q84" s="26"/>
      <c r="R84" s="26"/>
      <c r="S84" s="26"/>
      <c r="T84" s="29"/>
      <c r="U84" s="26"/>
      <c r="V84" s="26"/>
      <c r="W84" s="26"/>
      <c r="X84" s="26"/>
      <c r="Y84" s="26"/>
      <c r="Z84" s="26"/>
      <c r="AA84" s="29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50"/>
      <c r="AT84" s="38"/>
      <c r="AU84" s="38"/>
      <c r="AV84" s="38"/>
      <c r="AW84" s="30"/>
      <c r="AX84" s="26"/>
      <c r="AY84" s="26"/>
      <c r="AZ84" s="44"/>
      <c r="BA84" s="30"/>
      <c r="BB84" s="406"/>
      <c r="BC84" s="406"/>
      <c r="BD84" s="30"/>
      <c r="BE84" s="85"/>
      <c r="BF84" s="65"/>
      <c r="BG84" s="65"/>
      <c r="BH84" s="88">
        <f t="shared" ca="1" si="1"/>
        <v>46136</v>
      </c>
      <c r="BI84" s="206">
        <f t="shared" ca="1" si="3"/>
        <v>1</v>
      </c>
      <c r="BJ84" s="501">
        <f t="shared" ca="1" si="0"/>
        <v>46136</v>
      </c>
      <c r="BK84" s="65"/>
      <c r="BL84" s="65"/>
      <c r="BM84" s="65"/>
      <c r="BN84" s="65"/>
      <c r="BO84" s="65"/>
      <c r="BP84" s="65"/>
      <c r="BQ84" s="65"/>
      <c r="BR84" s="206">
        <v>45</v>
      </c>
      <c r="BS84" s="65"/>
      <c r="BT84" s="61"/>
      <c r="BU84" s="61"/>
      <c r="BV84" s="61"/>
      <c r="BW84" s="403"/>
      <c r="BX84" s="403"/>
      <c r="BY84" s="403"/>
      <c r="BZ84" s="403"/>
      <c r="CA84" s="403"/>
      <c r="CB84" s="403"/>
      <c r="CC84" s="403"/>
      <c r="CD84" s="403"/>
      <c r="CE84" s="403"/>
      <c r="CF84" s="403"/>
      <c r="CG84" s="403"/>
      <c r="CH84" s="403"/>
      <c r="CI84" s="403"/>
      <c r="CJ84" s="403"/>
      <c r="CK84" s="403"/>
      <c r="CL84" s="403"/>
      <c r="CM84" s="403"/>
      <c r="CN84" s="403"/>
      <c r="CO84" s="403"/>
      <c r="CP84" s="403"/>
      <c r="CQ84" s="403"/>
      <c r="CR84" s="1"/>
    </row>
    <row r="85" spans="1:96" ht="16.350000000000001">
      <c r="A85" s="1"/>
      <c r="B85" s="61"/>
      <c r="C85" s="29"/>
      <c r="D85" s="61"/>
      <c r="E85" s="26"/>
      <c r="F85" s="29"/>
      <c r="G85" s="26"/>
      <c r="H85" s="29"/>
      <c r="I85" s="26"/>
      <c r="J85" s="26"/>
      <c r="K85" s="26"/>
      <c r="L85" s="26"/>
      <c r="M85" s="29"/>
      <c r="N85" s="26"/>
      <c r="O85" s="26"/>
      <c r="P85" s="26"/>
      <c r="Q85" s="26"/>
      <c r="R85" s="26"/>
      <c r="S85" s="26"/>
      <c r="T85" s="29"/>
      <c r="U85" s="26"/>
      <c r="V85" s="26"/>
      <c r="W85" s="26"/>
      <c r="X85" s="26"/>
      <c r="Y85" s="26"/>
      <c r="Z85" s="26"/>
      <c r="AA85" s="29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50"/>
      <c r="AT85" s="43"/>
      <c r="AU85" s="43"/>
      <c r="AV85" s="43"/>
      <c r="AW85" s="30"/>
      <c r="AX85" s="26"/>
      <c r="AY85" s="26"/>
      <c r="AZ85" s="44"/>
      <c r="BA85" s="41"/>
      <c r="BB85" s="406"/>
      <c r="BC85" s="406"/>
      <c r="BD85" s="30"/>
      <c r="BE85" s="85"/>
      <c r="BF85" s="65"/>
      <c r="BG85" s="65"/>
      <c r="BH85" s="88">
        <f t="shared" ca="1" si="1"/>
        <v>46137</v>
      </c>
      <c r="BI85" s="206">
        <f t="shared" ca="1" si="3"/>
        <v>1</v>
      </c>
      <c r="BJ85" s="501">
        <f t="shared" ca="1" si="0"/>
        <v>46137</v>
      </c>
      <c r="BK85" s="65"/>
      <c r="BL85" s="65"/>
      <c r="BM85" s="65"/>
      <c r="BN85" s="65"/>
      <c r="BO85" s="65"/>
      <c r="BP85" s="65"/>
      <c r="BQ85" s="65"/>
      <c r="BR85" s="206">
        <v>46</v>
      </c>
      <c r="BS85" s="65"/>
      <c r="BT85" s="61"/>
      <c r="BU85" s="61"/>
      <c r="BV85" s="61"/>
      <c r="BW85" s="403"/>
      <c r="BX85" s="403"/>
      <c r="BY85" s="403"/>
      <c r="BZ85" s="403"/>
      <c r="CA85" s="403"/>
      <c r="CB85" s="403"/>
      <c r="CC85" s="403"/>
      <c r="CD85" s="403"/>
      <c r="CE85" s="403"/>
      <c r="CF85" s="403"/>
      <c r="CG85" s="403"/>
      <c r="CH85" s="403"/>
      <c r="CI85" s="403"/>
      <c r="CJ85" s="403"/>
      <c r="CK85" s="403"/>
      <c r="CL85" s="403"/>
      <c r="CM85" s="403"/>
      <c r="CN85" s="403"/>
      <c r="CO85" s="403"/>
      <c r="CP85" s="403"/>
      <c r="CQ85" s="403"/>
      <c r="CR85" s="1"/>
    </row>
    <row r="86" spans="1:96" ht="16.350000000000001">
      <c r="A86" s="1"/>
      <c r="B86" s="61"/>
      <c r="C86" s="29"/>
      <c r="D86" s="61"/>
      <c r="E86" s="26"/>
      <c r="F86" s="29"/>
      <c r="G86" s="26"/>
      <c r="H86" s="29"/>
      <c r="I86" s="26"/>
      <c r="J86" s="26"/>
      <c r="K86" s="26"/>
      <c r="L86" s="26"/>
      <c r="M86" s="29"/>
      <c r="N86" s="26"/>
      <c r="O86" s="26"/>
      <c r="P86" s="26"/>
      <c r="Q86" s="26"/>
      <c r="R86" s="26"/>
      <c r="S86" s="26"/>
      <c r="T86" s="29"/>
      <c r="U86" s="26"/>
      <c r="V86" s="26"/>
      <c r="W86" s="26"/>
      <c r="X86" s="26"/>
      <c r="Y86" s="26"/>
      <c r="Z86" s="26"/>
      <c r="AA86" s="29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50"/>
      <c r="AT86" s="43"/>
      <c r="AU86" s="43"/>
      <c r="AV86" s="43"/>
      <c r="AW86" s="30"/>
      <c r="AX86" s="26"/>
      <c r="AY86" s="26"/>
      <c r="AZ86" s="44"/>
      <c r="BA86" s="41"/>
      <c r="BB86" s="406"/>
      <c r="BC86" s="406"/>
      <c r="BD86" s="30"/>
      <c r="BE86" s="85"/>
      <c r="BF86" s="65"/>
      <c r="BG86" s="65"/>
      <c r="BH86" s="88">
        <f t="shared" ca="1" si="1"/>
        <v>46138</v>
      </c>
      <c r="BI86" s="206">
        <f t="shared" ca="1" si="3"/>
        <v>1</v>
      </c>
      <c r="BJ86" s="501">
        <f t="shared" ca="1" si="0"/>
        <v>46138</v>
      </c>
      <c r="BK86" s="65"/>
      <c r="BL86" s="65"/>
      <c r="BM86" s="65"/>
      <c r="BN86" s="65"/>
      <c r="BO86" s="65"/>
      <c r="BP86" s="65"/>
      <c r="BQ86" s="65"/>
      <c r="BR86" s="206">
        <v>47</v>
      </c>
      <c r="BS86" s="65"/>
      <c r="BT86" s="61"/>
      <c r="BU86" s="61"/>
      <c r="BV86" s="61"/>
      <c r="BW86" s="403"/>
      <c r="BX86" s="403"/>
      <c r="BY86" s="403"/>
      <c r="BZ86" s="403"/>
      <c r="CA86" s="403"/>
      <c r="CB86" s="403"/>
      <c r="CC86" s="403"/>
      <c r="CD86" s="403"/>
      <c r="CE86" s="403"/>
      <c r="CF86" s="403"/>
      <c r="CG86" s="403"/>
      <c r="CH86" s="403"/>
      <c r="CI86" s="403"/>
      <c r="CJ86" s="403"/>
      <c r="CK86" s="403"/>
      <c r="CL86" s="403"/>
      <c r="CM86" s="403"/>
      <c r="CN86" s="403"/>
      <c r="CO86" s="403"/>
      <c r="CP86" s="403"/>
      <c r="CQ86" s="403"/>
      <c r="CR86" s="1"/>
    </row>
    <row r="87" spans="1:96" ht="16.350000000000001">
      <c r="A87" s="1"/>
      <c r="B87" s="61"/>
      <c r="C87" s="29"/>
      <c r="D87" s="61"/>
      <c r="E87" s="26"/>
      <c r="F87" s="29"/>
      <c r="G87" s="26"/>
      <c r="H87" s="29"/>
      <c r="I87" s="26"/>
      <c r="J87" s="26"/>
      <c r="K87" s="26"/>
      <c r="L87" s="26"/>
      <c r="M87" s="29"/>
      <c r="N87" s="26"/>
      <c r="O87" s="26"/>
      <c r="P87" s="26"/>
      <c r="Q87" s="26"/>
      <c r="R87" s="26"/>
      <c r="S87" s="26"/>
      <c r="T87" s="29"/>
      <c r="U87" s="26"/>
      <c r="V87" s="26"/>
      <c r="W87" s="26"/>
      <c r="X87" s="26"/>
      <c r="Y87" s="26"/>
      <c r="Z87" s="26"/>
      <c r="AA87" s="29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50"/>
      <c r="AT87" s="43"/>
      <c r="AU87" s="43"/>
      <c r="AV87" s="43"/>
      <c r="AW87" s="30"/>
      <c r="AX87" s="26"/>
      <c r="AY87" s="26"/>
      <c r="AZ87" s="44"/>
      <c r="BA87" s="41"/>
      <c r="BB87" s="406"/>
      <c r="BC87" s="406"/>
      <c r="BD87" s="30"/>
      <c r="BE87" s="85"/>
      <c r="BF87" s="65"/>
      <c r="BG87" s="65"/>
      <c r="BH87" s="88">
        <f t="shared" ca="1" si="1"/>
        <v>46139</v>
      </c>
      <c r="BI87" s="206" t="str">
        <f t="shared" ca="1" si="2"/>
        <v/>
      </c>
      <c r="BJ87" s="501" t="str">
        <f t="shared" ca="1" si="0"/>
        <v/>
      </c>
      <c r="BK87" s="65"/>
      <c r="BL87" s="65"/>
      <c r="BM87" s="65"/>
      <c r="BN87" s="65"/>
      <c r="BO87" s="65"/>
      <c r="BP87" s="65"/>
      <c r="BQ87" s="65"/>
      <c r="BR87" s="206">
        <v>48</v>
      </c>
      <c r="BS87" s="65"/>
      <c r="BT87" s="61"/>
      <c r="BU87" s="61"/>
      <c r="BV87" s="61"/>
      <c r="BW87" s="403"/>
      <c r="BX87" s="403"/>
      <c r="BY87" s="403"/>
      <c r="BZ87" s="403"/>
      <c r="CA87" s="403"/>
      <c r="CB87" s="403"/>
      <c r="CC87" s="403"/>
      <c r="CD87" s="403"/>
      <c r="CE87" s="403"/>
      <c r="CF87" s="403"/>
      <c r="CG87" s="403"/>
      <c r="CH87" s="403"/>
      <c r="CI87" s="403"/>
      <c r="CJ87" s="403"/>
      <c r="CK87" s="403"/>
      <c r="CL87" s="403"/>
      <c r="CM87" s="403"/>
      <c r="CN87" s="403"/>
      <c r="CO87" s="403"/>
      <c r="CP87" s="403"/>
      <c r="CQ87" s="403"/>
      <c r="CR87" s="1"/>
    </row>
    <row r="88" spans="1:96" ht="16.350000000000001">
      <c r="A88" s="1"/>
      <c r="B88" s="61"/>
      <c r="C88" s="29"/>
      <c r="D88" s="61"/>
      <c r="E88" s="26"/>
      <c r="F88" s="29"/>
      <c r="G88" s="26"/>
      <c r="H88" s="29"/>
      <c r="I88" s="26"/>
      <c r="J88" s="26"/>
      <c r="K88" s="26"/>
      <c r="L88" s="26"/>
      <c r="M88" s="29"/>
      <c r="N88" s="26"/>
      <c r="O88" s="26"/>
      <c r="P88" s="26"/>
      <c r="Q88" s="26"/>
      <c r="R88" s="26"/>
      <c r="S88" s="26"/>
      <c r="T88" s="29"/>
      <c r="U88" s="26"/>
      <c r="V88" s="26"/>
      <c r="W88" s="26"/>
      <c r="X88" s="26"/>
      <c r="Y88" s="26"/>
      <c r="Z88" s="26"/>
      <c r="AA88" s="29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50"/>
      <c r="AT88" s="43"/>
      <c r="AU88" s="43"/>
      <c r="AV88" s="43"/>
      <c r="AW88" s="30"/>
      <c r="AX88" s="26"/>
      <c r="AY88" s="26"/>
      <c r="AZ88" s="44"/>
      <c r="BA88" s="41"/>
      <c r="BB88" s="406"/>
      <c r="BC88" s="406"/>
      <c r="BD88" s="30"/>
      <c r="BE88" s="85"/>
      <c r="BF88" s="65"/>
      <c r="BG88" s="65"/>
      <c r="BH88" s="88">
        <f t="shared" ca="1" si="1"/>
        <v>46140</v>
      </c>
      <c r="BI88" s="206">
        <f t="shared" ca="1" si="2"/>
        <v>1</v>
      </c>
      <c r="BJ88" s="501">
        <f t="shared" ca="1" si="0"/>
        <v>46140</v>
      </c>
      <c r="BK88" s="65"/>
      <c r="BL88" s="65"/>
      <c r="BM88" s="65"/>
      <c r="BN88" s="65"/>
      <c r="BO88" s="65"/>
      <c r="BP88" s="65"/>
      <c r="BQ88" s="65"/>
      <c r="BR88" s="206">
        <v>49</v>
      </c>
      <c r="BS88" s="65"/>
      <c r="BT88" s="61"/>
      <c r="BU88" s="61"/>
      <c r="BV88" s="61"/>
      <c r="BW88" s="403"/>
      <c r="BX88" s="403"/>
      <c r="BY88" s="403"/>
      <c r="BZ88" s="403"/>
      <c r="CA88" s="403"/>
      <c r="CB88" s="403"/>
      <c r="CC88" s="403"/>
      <c r="CD88" s="403"/>
      <c r="CE88" s="403"/>
      <c r="CF88" s="403"/>
      <c r="CG88" s="403"/>
      <c r="CH88" s="403"/>
      <c r="CI88" s="403"/>
      <c r="CJ88" s="403"/>
      <c r="CK88" s="403"/>
      <c r="CL88" s="403"/>
      <c r="CM88" s="403"/>
      <c r="CN88" s="403"/>
      <c r="CO88" s="403"/>
      <c r="CP88" s="403"/>
      <c r="CQ88" s="403"/>
      <c r="CR88" s="1"/>
    </row>
    <row r="89" spans="1:96" ht="16.350000000000001">
      <c r="A89" s="1"/>
      <c r="B89" s="61"/>
      <c r="C89" s="29"/>
      <c r="D89" s="61"/>
      <c r="E89" s="26"/>
      <c r="F89" s="29"/>
      <c r="G89" s="26"/>
      <c r="H89" s="29"/>
      <c r="I89" s="26"/>
      <c r="J89" s="26"/>
      <c r="K89" s="26"/>
      <c r="L89" s="26"/>
      <c r="M89" s="29"/>
      <c r="N89" s="26"/>
      <c r="O89" s="26"/>
      <c r="P89" s="26"/>
      <c r="Q89" s="26"/>
      <c r="R89" s="26"/>
      <c r="S89" s="26"/>
      <c r="T89" s="29"/>
      <c r="U89" s="26"/>
      <c r="V89" s="26"/>
      <c r="W89" s="26"/>
      <c r="X89" s="26"/>
      <c r="Y89" s="26"/>
      <c r="Z89" s="26"/>
      <c r="AA89" s="29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50"/>
      <c r="AT89" s="43"/>
      <c r="AU89" s="43"/>
      <c r="AV89" s="43"/>
      <c r="AW89" s="30"/>
      <c r="AX89" s="26"/>
      <c r="AY89" s="26"/>
      <c r="AZ89" s="44"/>
      <c r="BA89" s="41"/>
      <c r="BB89" s="406"/>
      <c r="BC89" s="406"/>
      <c r="BD89" s="30"/>
      <c r="BE89" s="85"/>
      <c r="BF89" s="65"/>
      <c r="BG89" s="65"/>
      <c r="BH89" s="88">
        <f t="shared" ca="1" si="1"/>
        <v>46141</v>
      </c>
      <c r="BI89" s="206">
        <f t="shared" ca="1" si="2"/>
        <v>1</v>
      </c>
      <c r="BJ89" s="501">
        <f t="shared" ca="1" si="0"/>
        <v>46141</v>
      </c>
      <c r="BK89" s="65"/>
      <c r="BL89" s="65"/>
      <c r="BM89" s="65"/>
      <c r="BN89" s="65"/>
      <c r="BO89" s="65"/>
      <c r="BP89" s="65"/>
      <c r="BQ89" s="65"/>
      <c r="BR89" s="206">
        <v>50</v>
      </c>
      <c r="BS89" s="65"/>
      <c r="BT89" s="61"/>
      <c r="BU89" s="61"/>
      <c r="BV89" s="61"/>
      <c r="BW89" s="403"/>
      <c r="BX89" s="403"/>
      <c r="BY89" s="403"/>
      <c r="BZ89" s="403"/>
      <c r="CA89" s="403"/>
      <c r="CB89" s="403"/>
      <c r="CC89" s="403"/>
      <c r="CD89" s="403"/>
      <c r="CE89" s="403"/>
      <c r="CF89" s="403"/>
      <c r="CG89" s="403"/>
      <c r="CH89" s="403"/>
      <c r="CI89" s="403"/>
      <c r="CJ89" s="403"/>
      <c r="CK89" s="403"/>
      <c r="CL89" s="403"/>
      <c r="CM89" s="403"/>
      <c r="CN89" s="403"/>
      <c r="CO89" s="403"/>
      <c r="CP89" s="403"/>
      <c r="CQ89" s="403"/>
      <c r="CR89" s="1"/>
    </row>
    <row r="90" spans="1:96" ht="16.350000000000001">
      <c r="A90" s="1"/>
      <c r="B90" s="61"/>
      <c r="C90" s="29"/>
      <c r="D90" s="61"/>
      <c r="E90" s="26"/>
      <c r="F90" s="29"/>
      <c r="G90" s="26"/>
      <c r="H90" s="29"/>
      <c r="I90" s="26"/>
      <c r="J90" s="26"/>
      <c r="K90" s="26"/>
      <c r="L90" s="26"/>
      <c r="M90" s="29"/>
      <c r="N90" s="26"/>
      <c r="O90" s="26"/>
      <c r="P90" s="26"/>
      <c r="Q90" s="26"/>
      <c r="R90" s="26"/>
      <c r="S90" s="26"/>
      <c r="T90" s="29"/>
      <c r="U90" s="26"/>
      <c r="V90" s="26"/>
      <c r="W90" s="26"/>
      <c r="X90" s="26"/>
      <c r="Y90" s="26"/>
      <c r="Z90" s="26"/>
      <c r="AA90" s="29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50"/>
      <c r="AT90" s="43"/>
      <c r="AU90" s="43"/>
      <c r="AV90" s="43"/>
      <c r="AW90" s="30"/>
      <c r="AX90" s="26"/>
      <c r="AY90" s="26"/>
      <c r="AZ90" s="44"/>
      <c r="BA90" s="41"/>
      <c r="BB90" s="406"/>
      <c r="BC90" s="406"/>
      <c r="BD90" s="30"/>
      <c r="BE90" s="85"/>
      <c r="BF90" s="65"/>
      <c r="BG90" s="65"/>
      <c r="BH90" s="88">
        <f t="shared" ca="1" si="1"/>
        <v>46142</v>
      </c>
      <c r="BI90" s="206">
        <f t="shared" ca="1" si="2"/>
        <v>1</v>
      </c>
      <c r="BJ90" s="501">
        <f t="shared" ca="1" si="0"/>
        <v>46142</v>
      </c>
      <c r="BK90" s="65"/>
      <c r="BL90" s="65"/>
      <c r="BM90" s="65"/>
      <c r="BN90" s="65"/>
      <c r="BO90" s="65"/>
      <c r="BP90" s="65"/>
      <c r="BQ90" s="65"/>
      <c r="BR90" s="65"/>
      <c r="BS90" s="65"/>
      <c r="BT90" s="61"/>
      <c r="BU90" s="61"/>
      <c r="BV90" s="61"/>
      <c r="BW90" s="403"/>
      <c r="BX90" s="403"/>
      <c r="BY90" s="403"/>
      <c r="BZ90" s="403"/>
      <c r="CA90" s="403"/>
      <c r="CB90" s="403"/>
      <c r="CC90" s="403"/>
      <c r="CD90" s="403"/>
      <c r="CE90" s="403"/>
      <c r="CF90" s="403"/>
      <c r="CG90" s="403"/>
      <c r="CH90" s="403"/>
      <c r="CI90" s="403"/>
      <c r="CJ90" s="403"/>
      <c r="CK90" s="403"/>
      <c r="CL90" s="403"/>
      <c r="CM90" s="403"/>
      <c r="CN90" s="403"/>
      <c r="CO90" s="403"/>
      <c r="CP90" s="403"/>
      <c r="CQ90" s="403"/>
      <c r="CR90" s="1"/>
    </row>
    <row r="91" spans="1:96" ht="16.350000000000001">
      <c r="A91" s="1"/>
      <c r="B91" s="61"/>
      <c r="C91" s="29"/>
      <c r="D91" s="61"/>
      <c r="E91" s="26"/>
      <c r="F91" s="29"/>
      <c r="G91" s="26"/>
      <c r="H91" s="29"/>
      <c r="I91" s="26"/>
      <c r="J91" s="26"/>
      <c r="K91" s="26"/>
      <c r="L91" s="26"/>
      <c r="M91" s="29"/>
      <c r="N91" s="26"/>
      <c r="O91" s="26"/>
      <c r="P91" s="26"/>
      <c r="Q91" s="26"/>
      <c r="R91" s="26"/>
      <c r="S91" s="26"/>
      <c r="T91" s="29"/>
      <c r="U91" s="26"/>
      <c r="V91" s="26"/>
      <c r="W91" s="26"/>
      <c r="X91" s="26"/>
      <c r="Y91" s="26"/>
      <c r="Z91" s="26"/>
      <c r="AA91" s="29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50"/>
      <c r="AT91" s="43"/>
      <c r="AU91" s="43"/>
      <c r="AV91" s="43"/>
      <c r="AW91" s="30"/>
      <c r="AX91" s="26"/>
      <c r="AY91" s="26"/>
      <c r="AZ91" s="44"/>
      <c r="BA91" s="41"/>
      <c r="BB91" s="406"/>
      <c r="BC91" s="406"/>
      <c r="BD91" s="30"/>
      <c r="BE91" s="85"/>
      <c r="BF91" s="65"/>
      <c r="BG91" s="65"/>
      <c r="BH91" s="88">
        <f t="shared" ca="1" si="1"/>
        <v>46143</v>
      </c>
      <c r="BI91" s="206">
        <f t="shared" ca="1" si="2"/>
        <v>1</v>
      </c>
      <c r="BJ91" s="501">
        <f t="shared" ca="1" si="0"/>
        <v>46143</v>
      </c>
      <c r="BK91" s="65"/>
      <c r="BL91" s="65"/>
      <c r="BM91" s="65"/>
      <c r="BN91" s="65"/>
      <c r="BO91" s="65"/>
      <c r="BP91" s="65"/>
      <c r="BQ91" s="65"/>
      <c r="BR91" s="65"/>
      <c r="BS91" s="65"/>
      <c r="BT91" s="61"/>
      <c r="BU91" s="61"/>
      <c r="BV91" s="61"/>
      <c r="BW91" s="403"/>
      <c r="BX91" s="403"/>
      <c r="BY91" s="403"/>
      <c r="BZ91" s="403"/>
      <c r="CA91" s="403"/>
      <c r="CB91" s="403"/>
      <c r="CC91" s="403"/>
      <c r="CD91" s="403"/>
      <c r="CE91" s="403"/>
      <c r="CF91" s="403"/>
      <c r="CG91" s="403"/>
      <c r="CH91" s="403"/>
      <c r="CI91" s="403"/>
      <c r="CJ91" s="403"/>
      <c r="CK91" s="403"/>
      <c r="CL91" s="403"/>
      <c r="CM91" s="403"/>
      <c r="CN91" s="403"/>
      <c r="CO91" s="403"/>
      <c r="CP91" s="403"/>
      <c r="CQ91" s="403"/>
      <c r="CR91" s="1"/>
    </row>
    <row r="92" spans="1:96" ht="16.350000000000001">
      <c r="A92" s="1"/>
      <c r="B92" s="61"/>
      <c r="C92" s="61"/>
      <c r="D92" s="61"/>
      <c r="E92" s="26"/>
      <c r="F92" s="29"/>
      <c r="G92" s="26"/>
      <c r="H92" s="29"/>
      <c r="I92" s="26"/>
      <c r="J92" s="26"/>
      <c r="K92" s="26"/>
      <c r="L92" s="26"/>
      <c r="M92" s="29"/>
      <c r="N92" s="26"/>
      <c r="O92" s="26"/>
      <c r="P92" s="26"/>
      <c r="Q92" s="26"/>
      <c r="R92" s="26"/>
      <c r="S92" s="26"/>
      <c r="T92" s="29"/>
      <c r="U92" s="26"/>
      <c r="V92" s="26"/>
      <c r="W92" s="26"/>
      <c r="X92" s="26"/>
      <c r="Y92" s="26"/>
      <c r="Z92" s="26"/>
      <c r="AA92" s="29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43"/>
      <c r="AU92" s="43"/>
      <c r="AV92" s="43"/>
      <c r="AW92" s="30"/>
      <c r="AX92" s="26"/>
      <c r="AY92" s="26"/>
      <c r="AZ92" s="26"/>
      <c r="BA92" s="41"/>
      <c r="BB92" s="406"/>
      <c r="BC92" s="406"/>
      <c r="BD92" s="30"/>
      <c r="BE92" s="85"/>
      <c r="BF92" s="65"/>
      <c r="BG92" s="65"/>
      <c r="BH92" s="88">
        <f t="shared" ca="1" si="1"/>
        <v>46144</v>
      </c>
      <c r="BI92" s="206">
        <f t="shared" ca="1" si="2"/>
        <v>1</v>
      </c>
      <c r="BJ92" s="501">
        <f t="shared" ca="1" si="0"/>
        <v>46144</v>
      </c>
      <c r="BK92" s="65"/>
      <c r="BL92" s="65"/>
      <c r="BM92" s="65"/>
      <c r="BN92" s="65"/>
      <c r="BO92" s="65"/>
      <c r="BP92" s="65"/>
      <c r="BQ92" s="65"/>
      <c r="BR92" s="65"/>
      <c r="BS92" s="65"/>
      <c r="BT92" s="61"/>
      <c r="BU92" s="61"/>
      <c r="BV92" s="61"/>
      <c r="BW92" s="403"/>
      <c r="BX92" s="403"/>
      <c r="BY92" s="403"/>
      <c r="BZ92" s="403"/>
      <c r="CA92" s="403"/>
      <c r="CB92" s="403"/>
      <c r="CC92" s="403"/>
      <c r="CD92" s="403"/>
      <c r="CE92" s="403"/>
      <c r="CF92" s="403"/>
      <c r="CG92" s="403"/>
      <c r="CH92" s="403"/>
      <c r="CI92" s="403"/>
      <c r="CJ92" s="403"/>
      <c r="CK92" s="403"/>
      <c r="CL92" s="403"/>
      <c r="CM92" s="403"/>
      <c r="CN92" s="403"/>
      <c r="CO92" s="403"/>
      <c r="CP92" s="403"/>
      <c r="CQ92" s="403"/>
      <c r="CR92" s="1"/>
    </row>
    <row r="93" spans="1:96" ht="16.350000000000001">
      <c r="A93" s="1"/>
      <c r="B93" s="61"/>
      <c r="C93" s="61"/>
      <c r="D93" s="61"/>
      <c r="E93" s="26"/>
      <c r="F93" s="29"/>
      <c r="G93" s="26"/>
      <c r="H93" s="29"/>
      <c r="I93" s="26"/>
      <c r="J93" s="26"/>
      <c r="K93" s="26"/>
      <c r="L93" s="26"/>
      <c r="M93" s="29"/>
      <c r="N93" s="26"/>
      <c r="O93" s="26"/>
      <c r="P93" s="26"/>
      <c r="Q93" s="26"/>
      <c r="R93" s="26"/>
      <c r="S93" s="26"/>
      <c r="T93" s="29"/>
      <c r="U93" s="26"/>
      <c r="V93" s="26"/>
      <c r="W93" s="26"/>
      <c r="X93" s="26"/>
      <c r="Y93" s="26"/>
      <c r="Z93" s="26"/>
      <c r="AA93" s="29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43"/>
      <c r="AU93" s="43"/>
      <c r="AV93" s="43"/>
      <c r="AW93" s="30"/>
      <c r="AX93" s="26"/>
      <c r="AY93" s="26"/>
      <c r="AZ93" s="26"/>
      <c r="BA93" s="41"/>
      <c r="BB93" s="406"/>
      <c r="BC93" s="406"/>
      <c r="BD93" s="30"/>
      <c r="BE93" s="85"/>
      <c r="BF93" s="65"/>
      <c r="BG93" s="65"/>
      <c r="BH93" s="88">
        <f t="shared" ca="1" si="1"/>
        <v>46145</v>
      </c>
      <c r="BI93" s="206">
        <f t="shared" ca="1" si="2"/>
        <v>1</v>
      </c>
      <c r="BJ93" s="501">
        <f t="shared" ca="1" si="0"/>
        <v>46145</v>
      </c>
      <c r="BK93" s="65"/>
      <c r="BL93" s="65"/>
      <c r="BM93" s="65"/>
      <c r="BN93" s="65"/>
      <c r="BO93" s="65"/>
      <c r="BP93" s="65"/>
      <c r="BQ93" s="65"/>
      <c r="BR93" s="65"/>
      <c r="BS93" s="65"/>
      <c r="BT93" s="61"/>
      <c r="BU93" s="61"/>
      <c r="BV93" s="61"/>
      <c r="BW93" s="403"/>
      <c r="BX93" s="403"/>
      <c r="BY93" s="403"/>
      <c r="BZ93" s="403"/>
      <c r="CA93" s="403"/>
      <c r="CB93" s="403"/>
      <c r="CC93" s="403"/>
      <c r="CD93" s="403"/>
      <c r="CE93" s="403"/>
      <c r="CF93" s="403"/>
      <c r="CG93" s="403"/>
      <c r="CH93" s="403"/>
      <c r="CI93" s="403"/>
      <c r="CJ93" s="403"/>
      <c r="CK93" s="403"/>
      <c r="CL93" s="403"/>
      <c r="CM93" s="403"/>
      <c r="CN93" s="403"/>
      <c r="CO93" s="403"/>
      <c r="CP93" s="403"/>
      <c r="CQ93" s="403"/>
      <c r="CR93" s="1"/>
    </row>
    <row r="94" spans="1:96" ht="16.350000000000001">
      <c r="A94" s="1"/>
      <c r="B94" s="61"/>
      <c r="C94" s="61"/>
      <c r="D94" s="61"/>
      <c r="E94" s="26"/>
      <c r="F94" s="29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404"/>
      <c r="BC94" s="404"/>
      <c r="BD94" s="26"/>
      <c r="BE94" s="85"/>
      <c r="BF94" s="65"/>
      <c r="BG94" s="65"/>
      <c r="BH94" s="88">
        <f t="shared" ca="1" si="1"/>
        <v>46146</v>
      </c>
      <c r="BI94" s="206" t="str">
        <f t="shared" ca="1" si="2"/>
        <v/>
      </c>
      <c r="BJ94" s="501" t="str">
        <f t="shared" ca="1" si="0"/>
        <v/>
      </c>
      <c r="BK94" s="65"/>
      <c r="BL94" s="65"/>
      <c r="BM94" s="65"/>
      <c r="BN94" s="65"/>
      <c r="BO94" s="65"/>
      <c r="BP94" s="65"/>
      <c r="BQ94" s="65"/>
      <c r="BR94" s="65"/>
      <c r="BS94" s="65"/>
      <c r="BT94" s="61"/>
      <c r="BU94" s="61"/>
      <c r="BV94" s="61"/>
      <c r="BW94" s="403"/>
      <c r="BX94" s="403"/>
      <c r="BY94" s="403"/>
      <c r="BZ94" s="403"/>
      <c r="CA94" s="403"/>
      <c r="CB94" s="403"/>
      <c r="CC94" s="403"/>
      <c r="CD94" s="403"/>
      <c r="CE94" s="403"/>
      <c r="CF94" s="403"/>
      <c r="CG94" s="403"/>
      <c r="CH94" s="403"/>
      <c r="CI94" s="403"/>
      <c r="CJ94" s="403"/>
      <c r="CK94" s="403"/>
      <c r="CL94" s="403"/>
      <c r="CM94" s="403"/>
      <c r="CN94" s="403"/>
      <c r="CO94" s="403"/>
      <c r="CP94" s="403"/>
      <c r="CQ94" s="403"/>
      <c r="CR94" s="1"/>
    </row>
    <row r="95" spans="1:96">
      <c r="A95" s="1"/>
      <c r="B95" s="61"/>
      <c r="C95" s="61"/>
      <c r="D95" s="61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404"/>
      <c r="BC95" s="404"/>
      <c r="BD95" s="26"/>
      <c r="BE95" s="85"/>
      <c r="BF95" s="65"/>
      <c r="BG95" s="65"/>
      <c r="BH95" s="88">
        <f t="shared" ca="1" si="1"/>
        <v>46147</v>
      </c>
      <c r="BI95" s="206">
        <f t="shared" ca="1" si="2"/>
        <v>1</v>
      </c>
      <c r="BJ95" s="501">
        <f t="shared" ca="1" si="0"/>
        <v>46147</v>
      </c>
      <c r="BK95" s="65"/>
      <c r="BL95" s="65"/>
      <c r="BM95" s="65"/>
      <c r="BN95" s="65"/>
      <c r="BO95" s="65"/>
      <c r="BP95" s="65"/>
      <c r="BQ95" s="65"/>
      <c r="BR95" s="65"/>
      <c r="BS95" s="65"/>
      <c r="BT95" s="61"/>
      <c r="BU95" s="61"/>
      <c r="BV95" s="61"/>
      <c r="BW95" s="403"/>
      <c r="BX95" s="403"/>
      <c r="BY95" s="403"/>
      <c r="BZ95" s="403"/>
      <c r="CA95" s="403"/>
      <c r="CB95" s="403"/>
      <c r="CC95" s="403"/>
      <c r="CD95" s="403"/>
      <c r="CE95" s="403"/>
      <c r="CF95" s="403"/>
      <c r="CG95" s="403"/>
      <c r="CH95" s="403"/>
      <c r="CI95" s="403"/>
      <c r="CJ95" s="403"/>
      <c r="CK95" s="403"/>
      <c r="CL95" s="403"/>
      <c r="CM95" s="403"/>
      <c r="CN95" s="403"/>
      <c r="CO95" s="403"/>
      <c r="CP95" s="403"/>
      <c r="CQ95" s="403"/>
      <c r="CR95" s="1"/>
    </row>
    <row r="96" spans="1:96" ht="16.350000000000001">
      <c r="A96" s="1"/>
      <c r="B96" s="61"/>
      <c r="C96" s="61"/>
      <c r="D96" s="61"/>
      <c r="E96" s="26"/>
      <c r="F96" s="86" t="s">
        <v>88</v>
      </c>
      <c r="G96" s="85"/>
      <c r="H96" s="85"/>
      <c r="I96" s="85"/>
      <c r="J96" s="85"/>
      <c r="K96" s="85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404"/>
      <c r="BC96" s="404"/>
      <c r="BD96" s="26"/>
      <c r="BE96" s="85"/>
      <c r="BF96" s="65"/>
      <c r="BG96" s="65"/>
      <c r="BH96" s="88">
        <f t="shared" ca="1" si="1"/>
        <v>46148</v>
      </c>
      <c r="BI96" s="206">
        <f t="shared" ca="1" si="2"/>
        <v>1</v>
      </c>
      <c r="BJ96" s="501">
        <f t="shared" ca="1" si="0"/>
        <v>46148</v>
      </c>
      <c r="BK96" s="65"/>
      <c r="BL96" s="65"/>
      <c r="BM96" s="65"/>
      <c r="BN96" s="65"/>
      <c r="BO96" s="65"/>
      <c r="BP96" s="65"/>
      <c r="BQ96" s="65"/>
      <c r="BR96" s="65"/>
      <c r="BS96" s="65"/>
      <c r="BT96" s="61"/>
      <c r="BU96" s="61"/>
      <c r="BV96" s="61"/>
      <c r="BW96" s="403"/>
      <c r="BX96" s="403"/>
      <c r="BY96" s="403"/>
      <c r="BZ96" s="403"/>
      <c r="CA96" s="403"/>
      <c r="CB96" s="403"/>
      <c r="CC96" s="403"/>
      <c r="CD96" s="403"/>
      <c r="CE96" s="403"/>
      <c r="CF96" s="403"/>
      <c r="CG96" s="403"/>
      <c r="CH96" s="403"/>
      <c r="CI96" s="403"/>
      <c r="CJ96" s="403"/>
      <c r="CK96" s="403"/>
      <c r="CL96" s="403"/>
      <c r="CM96" s="403"/>
      <c r="CN96" s="403"/>
      <c r="CO96" s="403"/>
      <c r="CP96" s="403"/>
      <c r="CQ96" s="403"/>
      <c r="CR96" s="1"/>
    </row>
    <row r="97" spans="1:96" ht="16.350000000000001">
      <c r="A97" s="1"/>
      <c r="B97" s="61"/>
      <c r="C97" s="61"/>
      <c r="D97" s="61"/>
      <c r="E97" s="26"/>
      <c r="F97" s="86" t="s">
        <v>83</v>
      </c>
      <c r="G97" s="85"/>
      <c r="H97" s="85"/>
      <c r="I97" s="85"/>
      <c r="J97" s="85"/>
      <c r="K97" s="85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404"/>
      <c r="BC97" s="404"/>
      <c r="BD97" s="26"/>
      <c r="BE97" s="85"/>
      <c r="BF97" s="65"/>
      <c r="BG97" s="65"/>
      <c r="BH97" s="88">
        <f t="shared" ca="1" si="1"/>
        <v>46149</v>
      </c>
      <c r="BI97" s="206">
        <f t="shared" ca="1" si="2"/>
        <v>1</v>
      </c>
      <c r="BJ97" s="501">
        <f t="shared" ca="1" si="0"/>
        <v>46149</v>
      </c>
      <c r="BK97" s="65"/>
      <c r="BL97" s="65"/>
      <c r="BM97" s="65"/>
      <c r="BN97" s="65"/>
      <c r="BO97" s="65"/>
      <c r="BP97" s="65"/>
      <c r="BQ97" s="65"/>
      <c r="BR97" s="65"/>
      <c r="BS97" s="65"/>
      <c r="BT97" s="61"/>
      <c r="BU97" s="61"/>
      <c r="BV97" s="61"/>
      <c r="BW97" s="403"/>
      <c r="BX97" s="403"/>
      <c r="BY97" s="403"/>
      <c r="BZ97" s="403"/>
      <c r="CA97" s="403"/>
      <c r="CB97" s="403"/>
      <c r="CC97" s="403"/>
      <c r="CD97" s="403"/>
      <c r="CE97" s="403"/>
      <c r="CF97" s="403"/>
      <c r="CG97" s="403"/>
      <c r="CH97" s="403"/>
      <c r="CI97" s="403"/>
      <c r="CJ97" s="403"/>
      <c r="CK97" s="403"/>
      <c r="CL97" s="403"/>
      <c r="CM97" s="403"/>
      <c r="CN97" s="403"/>
      <c r="CO97" s="403"/>
      <c r="CP97" s="403"/>
      <c r="CQ97" s="403"/>
      <c r="CR97" s="1"/>
    </row>
    <row r="98" spans="1:96" ht="16.350000000000001">
      <c r="A98" s="1"/>
      <c r="B98" s="61"/>
      <c r="C98" s="61"/>
      <c r="D98" s="61"/>
      <c r="E98" s="26"/>
      <c r="F98" s="86" t="s">
        <v>84</v>
      </c>
      <c r="G98" s="85"/>
      <c r="H98" s="85"/>
      <c r="I98" s="85"/>
      <c r="J98" s="85"/>
      <c r="K98" s="85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404"/>
      <c r="BC98" s="404"/>
      <c r="BD98" s="26"/>
      <c r="BE98" s="85"/>
      <c r="BF98" s="65"/>
      <c r="BG98" s="65"/>
      <c r="BH98" s="88">
        <f t="shared" ca="1" si="1"/>
        <v>46150</v>
      </c>
      <c r="BI98" s="206">
        <f t="shared" ca="1" si="2"/>
        <v>1</v>
      </c>
      <c r="BJ98" s="501">
        <f t="shared" ca="1" si="0"/>
        <v>46150</v>
      </c>
      <c r="BK98" s="65"/>
      <c r="BL98" s="65"/>
      <c r="BM98" s="65"/>
      <c r="BN98" s="65"/>
      <c r="BO98" s="65"/>
      <c r="BP98" s="65"/>
      <c r="BQ98" s="65"/>
      <c r="BR98" s="65"/>
      <c r="BS98" s="65"/>
      <c r="BT98" s="61"/>
      <c r="BU98" s="61"/>
      <c r="BV98" s="61"/>
      <c r="BW98" s="403"/>
      <c r="BX98" s="403"/>
      <c r="BY98" s="403"/>
      <c r="BZ98" s="403"/>
      <c r="CA98" s="403"/>
      <c r="CB98" s="403"/>
      <c r="CC98" s="403"/>
      <c r="CD98" s="403"/>
      <c r="CE98" s="403"/>
      <c r="CF98" s="403"/>
      <c r="CG98" s="403"/>
      <c r="CH98" s="403"/>
      <c r="CI98" s="403"/>
      <c r="CJ98" s="403"/>
      <c r="CK98" s="403"/>
      <c r="CL98" s="403"/>
      <c r="CM98" s="403"/>
      <c r="CN98" s="403"/>
      <c r="CO98" s="403"/>
      <c r="CP98" s="403"/>
      <c r="CQ98" s="403"/>
      <c r="CR98" s="1"/>
    </row>
    <row r="99" spans="1:96">
      <c r="A99" s="1"/>
      <c r="B99" s="61"/>
      <c r="C99" s="61"/>
      <c r="D99" s="61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404"/>
      <c r="BC99" s="404"/>
      <c r="BD99" s="26"/>
      <c r="BE99" s="85"/>
      <c r="BF99" s="65"/>
      <c r="BG99" s="65"/>
      <c r="BH99" s="88">
        <f t="shared" ca="1" si="1"/>
        <v>46151</v>
      </c>
      <c r="BI99" s="206">
        <f t="shared" ca="1" si="2"/>
        <v>1</v>
      </c>
      <c r="BJ99" s="501">
        <f t="shared" ca="1" si="0"/>
        <v>46151</v>
      </c>
      <c r="BK99" s="65"/>
      <c r="BL99" s="65"/>
      <c r="BM99" s="65"/>
      <c r="BN99" s="65"/>
      <c r="BO99" s="65"/>
      <c r="BP99" s="65"/>
      <c r="BQ99" s="65"/>
      <c r="BR99" s="65"/>
      <c r="BS99" s="65"/>
      <c r="BT99" s="61"/>
      <c r="BU99" s="61"/>
      <c r="BV99" s="61"/>
      <c r="BW99" s="403"/>
      <c r="BX99" s="403"/>
      <c r="BY99" s="403"/>
      <c r="BZ99" s="403"/>
      <c r="CA99" s="403"/>
      <c r="CB99" s="403"/>
      <c r="CC99" s="403"/>
      <c r="CD99" s="403"/>
      <c r="CE99" s="403"/>
      <c r="CF99" s="403"/>
      <c r="CG99" s="403"/>
      <c r="CH99" s="403"/>
      <c r="CI99" s="403"/>
      <c r="CJ99" s="403"/>
      <c r="CK99" s="403"/>
      <c r="CL99" s="403"/>
      <c r="CM99" s="403"/>
      <c r="CN99" s="403"/>
      <c r="CO99" s="403"/>
      <c r="CP99" s="403"/>
      <c r="CQ99" s="403"/>
      <c r="CR99" s="1"/>
    </row>
    <row r="100" spans="1:96">
      <c r="A100" s="1"/>
      <c r="B100" s="61"/>
      <c r="C100" s="61"/>
      <c r="D100" s="61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404"/>
      <c r="BC100" s="404"/>
      <c r="BD100" s="26"/>
      <c r="BE100" s="85"/>
      <c r="BF100" s="65"/>
      <c r="BG100" s="65"/>
      <c r="BH100" s="88">
        <f t="shared" ca="1" si="1"/>
        <v>46152</v>
      </c>
      <c r="BI100" s="206">
        <f t="shared" ca="1" si="2"/>
        <v>1</v>
      </c>
      <c r="BJ100" s="501">
        <f t="shared" ca="1" si="0"/>
        <v>46152</v>
      </c>
      <c r="BK100" s="65"/>
      <c r="BL100" s="65"/>
      <c r="BM100" s="65"/>
      <c r="BN100" s="65"/>
      <c r="BO100" s="65"/>
      <c r="BP100" s="65"/>
      <c r="BQ100" s="65"/>
      <c r="BR100" s="65"/>
      <c r="BS100" s="65"/>
      <c r="BT100" s="61"/>
      <c r="BU100" s="61"/>
      <c r="BV100" s="61"/>
      <c r="BW100" s="403"/>
      <c r="BX100" s="403"/>
      <c r="BY100" s="403"/>
      <c r="BZ100" s="403"/>
      <c r="CA100" s="403"/>
      <c r="CB100" s="403"/>
      <c r="CC100" s="403"/>
      <c r="CD100" s="403"/>
      <c r="CE100" s="403"/>
      <c r="CF100" s="403"/>
      <c r="CG100" s="403"/>
      <c r="CH100" s="403"/>
      <c r="CI100" s="403"/>
      <c r="CJ100" s="403"/>
      <c r="CK100" s="403"/>
      <c r="CL100" s="403"/>
      <c r="CM100" s="403"/>
      <c r="CN100" s="403"/>
      <c r="CO100" s="403"/>
      <c r="CP100" s="403"/>
      <c r="CQ100" s="403"/>
      <c r="CR100" s="1"/>
    </row>
    <row r="101" spans="1:96">
      <c r="A101" s="1"/>
      <c r="B101" s="61"/>
      <c r="C101" s="61"/>
      <c r="D101" s="61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404"/>
      <c r="BC101" s="404"/>
      <c r="BD101" s="26"/>
      <c r="BE101" s="85"/>
      <c r="BF101" s="65"/>
      <c r="BG101" s="65"/>
      <c r="BH101" s="88">
        <f t="shared" ca="1" si="1"/>
        <v>46153</v>
      </c>
      <c r="BI101" s="206" t="str">
        <f t="shared" ca="1" si="2"/>
        <v/>
      </c>
      <c r="BJ101" s="501" t="str">
        <f t="shared" ca="1" si="0"/>
        <v/>
      </c>
      <c r="BK101" s="65"/>
      <c r="BL101" s="65"/>
      <c r="BM101" s="65"/>
      <c r="BN101" s="65"/>
      <c r="BO101" s="65"/>
      <c r="BP101" s="65"/>
      <c r="BQ101" s="65"/>
      <c r="BR101" s="65"/>
      <c r="BS101" s="65"/>
      <c r="BT101" s="61"/>
      <c r="BU101" s="61"/>
      <c r="BV101" s="61"/>
      <c r="BW101" s="403"/>
      <c r="BX101" s="403"/>
      <c r="BY101" s="403"/>
      <c r="BZ101" s="403"/>
      <c r="CA101" s="403"/>
      <c r="CB101" s="403"/>
      <c r="CC101" s="403"/>
      <c r="CD101" s="403"/>
      <c r="CE101" s="403"/>
      <c r="CF101" s="403"/>
      <c r="CG101" s="403"/>
      <c r="CH101" s="403"/>
      <c r="CI101" s="403"/>
      <c r="CJ101" s="403"/>
      <c r="CK101" s="403"/>
      <c r="CL101" s="403"/>
      <c r="CM101" s="403"/>
      <c r="CN101" s="403"/>
      <c r="CO101" s="403"/>
      <c r="CP101" s="403"/>
      <c r="CQ101" s="403"/>
      <c r="CR101" s="1"/>
    </row>
    <row r="102" spans="1:96">
      <c r="A102" s="1"/>
      <c r="B102" s="61"/>
      <c r="C102" s="61"/>
      <c r="D102" s="61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404"/>
      <c r="BC102" s="404"/>
      <c r="BD102" s="26"/>
      <c r="BE102" s="85"/>
      <c r="BF102" s="65"/>
      <c r="BG102" s="65"/>
      <c r="BH102" s="88">
        <f t="shared" ca="1" si="1"/>
        <v>46154</v>
      </c>
      <c r="BI102" s="206">
        <f t="shared" ca="1" si="2"/>
        <v>1</v>
      </c>
      <c r="BJ102" s="501">
        <f t="shared" ca="1" si="0"/>
        <v>46154</v>
      </c>
      <c r="BK102" s="65"/>
      <c r="BL102" s="65"/>
      <c r="BM102" s="65"/>
      <c r="BN102" s="65"/>
      <c r="BO102" s="65"/>
      <c r="BP102" s="65"/>
      <c r="BQ102" s="65"/>
      <c r="BR102" s="65"/>
      <c r="BS102" s="65"/>
      <c r="BT102" s="61"/>
      <c r="BU102" s="61"/>
      <c r="BV102" s="61"/>
      <c r="BW102" s="403"/>
      <c r="BX102" s="403"/>
      <c r="BY102" s="403"/>
      <c r="BZ102" s="403"/>
      <c r="CA102" s="403"/>
      <c r="CB102" s="403"/>
      <c r="CC102" s="403"/>
      <c r="CD102" s="403"/>
      <c r="CE102" s="403"/>
      <c r="CF102" s="403"/>
      <c r="CG102" s="403"/>
      <c r="CH102" s="403"/>
      <c r="CI102" s="403"/>
      <c r="CJ102" s="403"/>
      <c r="CK102" s="403"/>
      <c r="CL102" s="403"/>
      <c r="CM102" s="403"/>
      <c r="CN102" s="403"/>
      <c r="CO102" s="403"/>
      <c r="CP102" s="403"/>
      <c r="CQ102" s="403"/>
      <c r="CR102" s="1"/>
    </row>
    <row r="103" spans="1:96">
      <c r="A103" s="1"/>
      <c r="B103" s="61"/>
      <c r="C103" s="61"/>
      <c r="D103" s="61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404"/>
      <c r="BC103" s="404"/>
      <c r="BD103" s="26"/>
      <c r="BE103" s="85"/>
      <c r="BF103" s="65"/>
      <c r="BG103" s="65"/>
      <c r="BH103" s="88">
        <f t="shared" ca="1" si="1"/>
        <v>46155</v>
      </c>
      <c r="BI103" s="206">
        <f t="shared" ca="1" si="2"/>
        <v>1</v>
      </c>
      <c r="BJ103" s="501">
        <f t="shared" ca="1" si="0"/>
        <v>46155</v>
      </c>
      <c r="BK103" s="65"/>
      <c r="BL103" s="65"/>
      <c r="BM103" s="65"/>
      <c r="BN103" s="65"/>
      <c r="BO103" s="65"/>
      <c r="BP103" s="65"/>
      <c r="BQ103" s="65"/>
      <c r="BR103" s="65"/>
      <c r="BS103" s="65"/>
      <c r="BT103" s="61"/>
      <c r="BU103" s="61"/>
      <c r="BV103" s="61"/>
      <c r="BW103" s="403"/>
      <c r="BX103" s="403"/>
      <c r="BY103" s="403"/>
      <c r="BZ103" s="403"/>
      <c r="CA103" s="403"/>
      <c r="CB103" s="403"/>
      <c r="CC103" s="403"/>
      <c r="CD103" s="403"/>
      <c r="CE103" s="403"/>
      <c r="CF103" s="403"/>
      <c r="CG103" s="403"/>
      <c r="CH103" s="403"/>
      <c r="CI103" s="403"/>
      <c r="CJ103" s="403"/>
      <c r="CK103" s="403"/>
      <c r="CL103" s="403"/>
      <c r="CM103" s="403"/>
      <c r="CN103" s="403"/>
      <c r="CO103" s="403"/>
      <c r="CP103" s="403"/>
      <c r="CQ103" s="403"/>
      <c r="CR103" s="1"/>
    </row>
    <row r="104" spans="1:96">
      <c r="A104" s="1"/>
      <c r="B104" s="61"/>
      <c r="C104" s="61"/>
      <c r="D104" s="61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404"/>
      <c r="BC104" s="404"/>
      <c r="BD104" s="26"/>
      <c r="BE104" s="85"/>
      <c r="BF104" s="65"/>
      <c r="BG104" s="65"/>
      <c r="BH104" s="88">
        <f t="shared" ca="1" si="1"/>
        <v>46156</v>
      </c>
      <c r="BI104" s="206">
        <f t="shared" ca="1" si="2"/>
        <v>1</v>
      </c>
      <c r="BJ104" s="501">
        <f t="shared" ca="1" si="0"/>
        <v>46156</v>
      </c>
      <c r="BK104" s="65"/>
      <c r="BL104" s="65"/>
      <c r="BM104" s="65"/>
      <c r="BN104" s="65"/>
      <c r="BO104" s="65"/>
      <c r="BP104" s="65"/>
      <c r="BQ104" s="65"/>
      <c r="BR104" s="65"/>
      <c r="BS104" s="65"/>
      <c r="BT104" s="61"/>
      <c r="BU104" s="61"/>
      <c r="BV104" s="61"/>
      <c r="BW104" s="403"/>
      <c r="BX104" s="403"/>
      <c r="BY104" s="403"/>
      <c r="BZ104" s="403"/>
      <c r="CA104" s="403"/>
      <c r="CB104" s="403"/>
      <c r="CC104" s="403"/>
      <c r="CD104" s="403"/>
      <c r="CE104" s="403"/>
      <c r="CF104" s="403"/>
      <c r="CG104" s="403"/>
      <c r="CH104" s="403"/>
      <c r="CI104" s="403"/>
      <c r="CJ104" s="403"/>
      <c r="CK104" s="403"/>
      <c r="CL104" s="403"/>
      <c r="CM104" s="403"/>
      <c r="CN104" s="403"/>
      <c r="CO104" s="403"/>
      <c r="CP104" s="403"/>
      <c r="CQ104" s="403"/>
      <c r="CR104" s="1"/>
    </row>
    <row r="105" spans="1:96">
      <c r="A105" s="1"/>
      <c r="B105" s="61"/>
      <c r="C105" s="61"/>
      <c r="D105" s="61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404"/>
      <c r="BC105" s="404"/>
      <c r="BD105" s="26"/>
      <c r="BE105" s="85"/>
      <c r="BF105" s="65"/>
      <c r="BG105" s="65"/>
      <c r="BH105" s="88">
        <f t="shared" ca="1" si="1"/>
        <v>46157</v>
      </c>
      <c r="BI105" s="206">
        <f t="shared" ca="1" si="2"/>
        <v>1</v>
      </c>
      <c r="BJ105" s="501">
        <f t="shared" ca="1" si="0"/>
        <v>46157</v>
      </c>
      <c r="BK105" s="65"/>
      <c r="BL105" s="65"/>
      <c r="BM105" s="65"/>
      <c r="BN105" s="65"/>
      <c r="BO105" s="65"/>
      <c r="BP105" s="65"/>
      <c r="BQ105" s="65"/>
      <c r="BR105" s="65"/>
      <c r="BS105" s="65"/>
      <c r="BT105" s="61"/>
      <c r="BU105" s="61"/>
      <c r="BV105" s="61"/>
      <c r="BW105" s="403"/>
      <c r="BX105" s="403"/>
      <c r="BY105" s="403"/>
      <c r="BZ105" s="403"/>
      <c r="CA105" s="403"/>
      <c r="CB105" s="403"/>
      <c r="CC105" s="403"/>
      <c r="CD105" s="403"/>
      <c r="CE105" s="403"/>
      <c r="CF105" s="403"/>
      <c r="CG105" s="403"/>
      <c r="CH105" s="403"/>
      <c r="CI105" s="403"/>
      <c r="CJ105" s="403"/>
      <c r="CK105" s="403"/>
      <c r="CL105" s="403"/>
      <c r="CM105" s="403"/>
      <c r="CN105" s="403"/>
      <c r="CO105" s="403"/>
      <c r="CP105" s="403"/>
      <c r="CQ105" s="403"/>
      <c r="CR105" s="1"/>
    </row>
    <row r="106" spans="1:96">
      <c r="A106" s="1"/>
      <c r="B106" s="61"/>
      <c r="C106" s="61"/>
      <c r="D106" s="61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404"/>
      <c r="BC106" s="404"/>
      <c r="BD106" s="26"/>
      <c r="BE106" s="85"/>
      <c r="BF106" s="65"/>
      <c r="BG106" s="65"/>
      <c r="BH106" s="88">
        <f t="shared" ca="1" si="1"/>
        <v>46158</v>
      </c>
      <c r="BI106" s="206">
        <f t="shared" ca="1" si="2"/>
        <v>1</v>
      </c>
      <c r="BJ106" s="501">
        <f t="shared" ca="1" si="0"/>
        <v>46158</v>
      </c>
      <c r="BK106" s="65"/>
      <c r="BL106" s="65"/>
      <c r="BM106" s="65"/>
      <c r="BN106" s="65"/>
      <c r="BO106" s="65"/>
      <c r="BP106" s="65"/>
      <c r="BQ106" s="65"/>
      <c r="BR106" s="65"/>
      <c r="BS106" s="65"/>
      <c r="BT106" s="61"/>
      <c r="BU106" s="61"/>
      <c r="BV106" s="61"/>
      <c r="BW106" s="403"/>
      <c r="BX106" s="403"/>
      <c r="BY106" s="403"/>
      <c r="BZ106" s="403"/>
      <c r="CA106" s="403"/>
      <c r="CB106" s="403"/>
      <c r="CC106" s="403"/>
      <c r="CD106" s="403"/>
      <c r="CE106" s="403"/>
      <c r="CF106" s="403"/>
      <c r="CG106" s="403"/>
      <c r="CH106" s="403"/>
      <c r="CI106" s="403"/>
      <c r="CJ106" s="403"/>
      <c r="CK106" s="403"/>
      <c r="CL106" s="403"/>
      <c r="CM106" s="403"/>
      <c r="CN106" s="403"/>
      <c r="CO106" s="403"/>
      <c r="CP106" s="403"/>
      <c r="CQ106" s="403"/>
      <c r="CR106" s="1"/>
    </row>
    <row r="107" spans="1:96">
      <c r="A107" s="1"/>
      <c r="B107" s="61"/>
      <c r="C107" s="61"/>
      <c r="D107" s="61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404"/>
      <c r="BC107" s="404"/>
      <c r="BD107" s="26"/>
      <c r="BE107" s="85"/>
      <c r="BF107" s="65"/>
      <c r="BG107" s="65"/>
      <c r="BH107" s="88">
        <f t="shared" ca="1" si="1"/>
        <v>46159</v>
      </c>
      <c r="BI107" s="206">
        <f t="shared" ca="1" si="2"/>
        <v>1</v>
      </c>
      <c r="BJ107" s="501">
        <f t="shared" ref="BJ107:BJ170" ca="1" si="4">IF(BI107=1,BH107,"")</f>
        <v>46159</v>
      </c>
      <c r="BK107" s="65"/>
      <c r="BL107" s="65"/>
      <c r="BM107" s="65"/>
      <c r="BN107" s="65"/>
      <c r="BO107" s="65"/>
      <c r="BP107" s="65"/>
      <c r="BQ107" s="65"/>
      <c r="BR107" s="65"/>
      <c r="BS107" s="65"/>
      <c r="BT107" s="61"/>
      <c r="BU107" s="61"/>
      <c r="BV107" s="61"/>
      <c r="BW107" s="403"/>
      <c r="BX107" s="403"/>
      <c r="BY107" s="403"/>
      <c r="BZ107" s="403"/>
      <c r="CA107" s="403"/>
      <c r="CB107" s="403"/>
      <c r="CC107" s="403"/>
      <c r="CD107" s="403"/>
      <c r="CE107" s="403"/>
      <c r="CF107" s="403"/>
      <c r="CG107" s="403"/>
      <c r="CH107" s="403"/>
      <c r="CI107" s="403"/>
      <c r="CJ107" s="403"/>
      <c r="CK107" s="403"/>
      <c r="CL107" s="403"/>
      <c r="CM107" s="403"/>
      <c r="CN107" s="403"/>
      <c r="CO107" s="403"/>
      <c r="CP107" s="403"/>
      <c r="CQ107" s="403"/>
      <c r="CR107" s="1"/>
    </row>
    <row r="108" spans="1:96">
      <c r="A108" s="1"/>
      <c r="B108" s="61"/>
      <c r="C108" s="61"/>
      <c r="D108" s="61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404"/>
      <c r="BC108" s="404"/>
      <c r="BD108" s="26"/>
      <c r="BE108" s="85"/>
      <c r="BF108" s="65"/>
      <c r="BG108" s="65"/>
      <c r="BH108" s="88">
        <f t="shared" ca="1" si="1"/>
        <v>46160</v>
      </c>
      <c r="BI108" s="206" t="str">
        <f t="shared" ref="BI108:BI114" ca="1" si="5">IF(TEXT(BH108,"ddddd")="maandag","",1)</f>
        <v/>
      </c>
      <c r="BJ108" s="501" t="str">
        <f t="shared" ca="1" si="4"/>
        <v/>
      </c>
      <c r="BK108" s="65"/>
      <c r="BL108" s="65"/>
      <c r="BM108" s="65"/>
      <c r="BN108" s="65"/>
      <c r="BO108" s="65"/>
      <c r="BP108" s="65"/>
      <c r="BQ108" s="65"/>
      <c r="BR108" s="65"/>
      <c r="BS108" s="65"/>
      <c r="BT108" s="61"/>
      <c r="BU108" s="61"/>
      <c r="BV108" s="61"/>
      <c r="BW108" s="403"/>
      <c r="BX108" s="403"/>
      <c r="BY108" s="403"/>
      <c r="BZ108" s="403"/>
      <c r="CA108" s="403"/>
      <c r="CB108" s="403"/>
      <c r="CC108" s="403"/>
      <c r="CD108" s="403"/>
      <c r="CE108" s="403"/>
      <c r="CF108" s="403"/>
      <c r="CG108" s="403"/>
      <c r="CH108" s="403"/>
      <c r="CI108" s="403"/>
      <c r="CJ108" s="403"/>
      <c r="CK108" s="403"/>
      <c r="CL108" s="403"/>
      <c r="CM108" s="403"/>
      <c r="CN108" s="403"/>
      <c r="CO108" s="403"/>
      <c r="CP108" s="403"/>
      <c r="CQ108" s="403"/>
      <c r="CR108" s="1"/>
    </row>
    <row r="109" spans="1:96">
      <c r="A109" s="1"/>
      <c r="B109" s="61"/>
      <c r="C109" s="61"/>
      <c r="D109" s="61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404"/>
      <c r="BC109" s="404"/>
      <c r="BD109" s="26"/>
      <c r="BE109" s="85"/>
      <c r="BF109" s="65"/>
      <c r="BG109" s="65"/>
      <c r="BH109" s="88">
        <f t="shared" ref="BH109:BH114" ca="1" si="6">SUM(BH108+1)</f>
        <v>46161</v>
      </c>
      <c r="BI109" s="206">
        <f t="shared" ca="1" si="5"/>
        <v>1</v>
      </c>
      <c r="BJ109" s="501">
        <f t="shared" ca="1" si="4"/>
        <v>46161</v>
      </c>
      <c r="BK109" s="65"/>
      <c r="BL109" s="65"/>
      <c r="BM109" s="65"/>
      <c r="BN109" s="65"/>
      <c r="BO109" s="65"/>
      <c r="BP109" s="65"/>
      <c r="BQ109" s="65"/>
      <c r="BR109" s="65"/>
      <c r="BS109" s="65"/>
      <c r="BT109" s="61"/>
      <c r="BU109" s="61"/>
      <c r="BV109" s="61"/>
      <c r="BW109" s="403"/>
      <c r="BX109" s="403"/>
      <c r="BY109" s="403"/>
      <c r="BZ109" s="403"/>
      <c r="CA109" s="403"/>
      <c r="CB109" s="403"/>
      <c r="CC109" s="403"/>
      <c r="CD109" s="403"/>
      <c r="CE109" s="403"/>
      <c r="CF109" s="403"/>
      <c r="CG109" s="403"/>
      <c r="CH109" s="403"/>
      <c r="CI109" s="403"/>
      <c r="CJ109" s="403"/>
      <c r="CK109" s="403"/>
      <c r="CL109" s="403"/>
      <c r="CM109" s="403"/>
      <c r="CN109" s="403"/>
      <c r="CO109" s="403"/>
      <c r="CP109" s="403"/>
      <c r="CQ109" s="403"/>
      <c r="CR109" s="1"/>
    </row>
    <row r="110" spans="1:9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403"/>
      <c r="BC110" s="403"/>
      <c r="BD110" s="61"/>
      <c r="BE110" s="65"/>
      <c r="BF110" s="65"/>
      <c r="BG110" s="65"/>
      <c r="BH110" s="88">
        <f t="shared" ca="1" si="6"/>
        <v>46162</v>
      </c>
      <c r="BI110" s="206">
        <f t="shared" ca="1" si="5"/>
        <v>1</v>
      </c>
      <c r="BJ110" s="501">
        <f t="shared" ca="1" si="4"/>
        <v>46162</v>
      </c>
      <c r="BK110" s="65"/>
      <c r="BL110" s="65"/>
      <c r="BM110" s="65"/>
      <c r="BN110" s="65"/>
      <c r="BO110" s="65"/>
      <c r="BP110" s="65"/>
      <c r="BQ110" s="65"/>
      <c r="BR110" s="65"/>
      <c r="BS110" s="65"/>
      <c r="BT110" s="61"/>
      <c r="BU110" s="61"/>
      <c r="BV110" s="61"/>
      <c r="BW110" s="403"/>
      <c r="BX110" s="403"/>
      <c r="BY110" s="403"/>
      <c r="BZ110" s="403"/>
      <c r="CA110" s="403"/>
      <c r="CB110" s="403"/>
      <c r="CC110" s="403"/>
      <c r="CD110" s="403"/>
      <c r="CE110" s="403"/>
      <c r="CF110" s="403"/>
      <c r="CG110" s="403"/>
      <c r="CH110" s="403"/>
      <c r="CI110" s="403"/>
      <c r="CJ110" s="403"/>
      <c r="CK110" s="403"/>
      <c r="CL110" s="403"/>
      <c r="CM110" s="403"/>
      <c r="CN110" s="403"/>
      <c r="CO110" s="403"/>
      <c r="CP110" s="403"/>
      <c r="CQ110" s="403"/>
      <c r="CR110" s="1"/>
    </row>
    <row r="111" spans="1:9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403"/>
      <c r="BC111" s="403"/>
      <c r="BD111" s="61"/>
      <c r="BE111" s="65"/>
      <c r="BF111" s="65"/>
      <c r="BG111" s="65"/>
      <c r="BH111" s="88">
        <f t="shared" ca="1" si="6"/>
        <v>46163</v>
      </c>
      <c r="BI111" s="206">
        <f t="shared" ca="1" si="5"/>
        <v>1</v>
      </c>
      <c r="BJ111" s="501">
        <f t="shared" ca="1" si="4"/>
        <v>46163</v>
      </c>
      <c r="BK111" s="65"/>
      <c r="BL111" s="65"/>
      <c r="BM111" s="65"/>
      <c r="BN111" s="65"/>
      <c r="BO111" s="65"/>
      <c r="BP111" s="65"/>
      <c r="BQ111" s="65"/>
      <c r="BR111" s="65"/>
      <c r="BS111" s="65"/>
      <c r="BT111" s="61"/>
      <c r="BU111" s="61"/>
      <c r="BV111" s="61"/>
      <c r="BW111" s="403"/>
      <c r="BX111" s="403"/>
      <c r="BY111" s="403"/>
      <c r="BZ111" s="403"/>
      <c r="CA111" s="403"/>
      <c r="CB111" s="403"/>
      <c r="CC111" s="403"/>
      <c r="CD111" s="403"/>
      <c r="CE111" s="403"/>
      <c r="CF111" s="403"/>
      <c r="CG111" s="403"/>
      <c r="CH111" s="403"/>
      <c r="CI111" s="403"/>
      <c r="CJ111" s="403"/>
      <c r="CK111" s="403"/>
      <c r="CL111" s="403"/>
      <c r="CM111" s="403"/>
      <c r="CN111" s="403"/>
      <c r="CO111" s="403"/>
      <c r="CP111" s="403"/>
      <c r="CQ111" s="403"/>
      <c r="CR111" s="1"/>
    </row>
    <row r="112" spans="1:9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403"/>
      <c r="BC112" s="403"/>
      <c r="BD112" s="61"/>
      <c r="BE112" s="65"/>
      <c r="BF112" s="65"/>
      <c r="BG112" s="65"/>
      <c r="BH112" s="88">
        <f t="shared" ca="1" si="6"/>
        <v>46164</v>
      </c>
      <c r="BI112" s="206">
        <f t="shared" ca="1" si="5"/>
        <v>1</v>
      </c>
      <c r="BJ112" s="501">
        <f t="shared" ca="1" si="4"/>
        <v>46164</v>
      </c>
      <c r="BK112" s="65"/>
      <c r="BL112" s="65"/>
      <c r="BM112" s="65"/>
      <c r="BN112" s="65"/>
      <c r="BO112" s="65"/>
      <c r="BP112" s="65"/>
      <c r="BQ112" s="65"/>
      <c r="BR112" s="65"/>
      <c r="BS112" s="65"/>
      <c r="BT112" s="61"/>
      <c r="BU112" s="61"/>
      <c r="BV112" s="61"/>
      <c r="BW112" s="403"/>
      <c r="BX112" s="403"/>
      <c r="BY112" s="403"/>
      <c r="BZ112" s="403"/>
      <c r="CA112" s="403"/>
      <c r="CB112" s="403"/>
      <c r="CC112" s="403"/>
      <c r="CD112" s="403"/>
      <c r="CE112" s="403"/>
      <c r="CF112" s="403"/>
      <c r="CG112" s="403"/>
      <c r="CH112" s="403"/>
      <c r="CI112" s="403"/>
      <c r="CJ112" s="403"/>
      <c r="CK112" s="403"/>
      <c r="CL112" s="403"/>
      <c r="CM112" s="403"/>
      <c r="CN112" s="403"/>
      <c r="CO112" s="403"/>
      <c r="CP112" s="403"/>
      <c r="CQ112" s="403"/>
      <c r="CR112" s="1"/>
    </row>
    <row r="113" spans="1:9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403"/>
      <c r="BC113" s="403"/>
      <c r="BD113" s="61"/>
      <c r="BE113" s="65"/>
      <c r="BF113" s="65"/>
      <c r="BG113" s="65"/>
      <c r="BH113" s="88">
        <f t="shared" ca="1" si="6"/>
        <v>46165</v>
      </c>
      <c r="BI113" s="206">
        <f t="shared" ca="1" si="5"/>
        <v>1</v>
      </c>
      <c r="BJ113" s="501">
        <f t="shared" ca="1" si="4"/>
        <v>46165</v>
      </c>
      <c r="BK113" s="65"/>
      <c r="BL113" s="65"/>
      <c r="BM113" s="65"/>
      <c r="BN113" s="65"/>
      <c r="BO113" s="65"/>
      <c r="BP113" s="65"/>
      <c r="BQ113" s="65"/>
      <c r="BR113" s="65"/>
      <c r="BS113" s="65"/>
      <c r="BT113" s="61"/>
      <c r="BU113" s="61"/>
      <c r="BV113" s="61"/>
      <c r="BW113" s="403"/>
      <c r="BX113" s="403"/>
      <c r="BY113" s="403"/>
      <c r="BZ113" s="403"/>
      <c r="CA113" s="403"/>
      <c r="CB113" s="403"/>
      <c r="CC113" s="403"/>
      <c r="CD113" s="403"/>
      <c r="CE113" s="403"/>
      <c r="CF113" s="403"/>
      <c r="CG113" s="403"/>
      <c r="CH113" s="403"/>
      <c r="CI113" s="403"/>
      <c r="CJ113" s="403"/>
      <c r="CK113" s="403"/>
      <c r="CL113" s="403"/>
      <c r="CM113" s="403"/>
      <c r="CN113" s="403"/>
      <c r="CO113" s="403"/>
      <c r="CP113" s="403"/>
      <c r="CQ113" s="403"/>
      <c r="CR113" s="1"/>
    </row>
    <row r="114" spans="1:9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403"/>
      <c r="BC114" s="403"/>
      <c r="BD114" s="61"/>
      <c r="BE114" s="65"/>
      <c r="BF114" s="65"/>
      <c r="BG114" s="65"/>
      <c r="BH114" s="88">
        <f t="shared" ca="1" si="6"/>
        <v>46166</v>
      </c>
      <c r="BI114" s="206">
        <f t="shared" ca="1" si="5"/>
        <v>1</v>
      </c>
      <c r="BJ114" s="501">
        <f t="shared" ca="1" si="4"/>
        <v>46166</v>
      </c>
      <c r="BK114" s="65"/>
      <c r="BL114" s="65"/>
      <c r="BM114" s="65"/>
      <c r="BN114" s="65"/>
      <c r="BO114" s="65"/>
      <c r="BP114" s="65"/>
      <c r="BQ114" s="65"/>
      <c r="BR114" s="65"/>
      <c r="BS114" s="65"/>
      <c r="BT114" s="61"/>
      <c r="BU114" s="61"/>
      <c r="BV114" s="61"/>
      <c r="BW114" s="403"/>
      <c r="BX114" s="403"/>
      <c r="BY114" s="403"/>
      <c r="BZ114" s="403"/>
      <c r="CA114" s="403"/>
      <c r="CB114" s="403"/>
      <c r="CC114" s="403"/>
      <c r="CD114" s="403"/>
      <c r="CE114" s="403"/>
      <c r="CF114" s="403"/>
      <c r="CG114" s="403"/>
      <c r="CH114" s="403"/>
      <c r="CI114" s="403"/>
      <c r="CJ114" s="403"/>
      <c r="CK114" s="403"/>
      <c r="CL114" s="403"/>
      <c r="CM114" s="403"/>
      <c r="CN114" s="403"/>
      <c r="CO114" s="403"/>
      <c r="CP114" s="403"/>
      <c r="CQ114" s="403"/>
      <c r="CR114" s="1"/>
    </row>
    <row r="115" spans="1:9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403"/>
      <c r="BC115" s="403"/>
      <c r="BD115" s="61"/>
      <c r="BE115" s="65"/>
      <c r="BF115" s="65"/>
      <c r="BG115" s="65"/>
      <c r="BH115" s="88">
        <f t="shared" ref="BH115:BH171" ca="1" si="7">SUM(BH114+1)</f>
        <v>46167</v>
      </c>
      <c r="BI115" s="206" t="str">
        <f t="shared" ref="BI115:BI171" ca="1" si="8">IF(TEXT(BH115,"ddddd")="maandag","",1)</f>
        <v/>
      </c>
      <c r="BJ115" s="501" t="str">
        <f t="shared" ca="1" si="4"/>
        <v/>
      </c>
      <c r="BK115" s="65"/>
      <c r="BL115" s="65"/>
      <c r="BM115" s="65"/>
      <c r="BN115" s="65"/>
      <c r="BO115" s="65"/>
      <c r="BP115" s="65"/>
      <c r="BQ115" s="65"/>
      <c r="BR115" s="65"/>
      <c r="BS115" s="65"/>
      <c r="BT115" s="61"/>
      <c r="BU115" s="61"/>
      <c r="BV115" s="61"/>
      <c r="BW115" s="403"/>
      <c r="BX115" s="403"/>
      <c r="BY115" s="403"/>
      <c r="BZ115" s="403"/>
      <c r="CA115" s="403"/>
      <c r="CB115" s="403"/>
      <c r="CC115" s="403"/>
      <c r="CD115" s="403"/>
      <c r="CE115" s="403"/>
      <c r="CF115" s="403"/>
      <c r="CG115" s="403"/>
      <c r="CH115" s="403"/>
      <c r="CI115" s="403"/>
      <c r="CJ115" s="403"/>
      <c r="CK115" s="403"/>
      <c r="CL115" s="403"/>
      <c r="CM115" s="403"/>
      <c r="CN115" s="403"/>
      <c r="CO115" s="403"/>
      <c r="CP115" s="403"/>
      <c r="CQ115" s="403"/>
      <c r="CR115" s="1"/>
    </row>
    <row r="116" spans="1:9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403"/>
      <c r="BC116" s="403"/>
      <c r="BD116" s="61"/>
      <c r="BE116" s="65"/>
      <c r="BF116" s="65"/>
      <c r="BG116" s="65"/>
      <c r="BH116" s="88">
        <f t="shared" ca="1" si="7"/>
        <v>46168</v>
      </c>
      <c r="BI116" s="206">
        <f t="shared" ca="1" si="8"/>
        <v>1</v>
      </c>
      <c r="BJ116" s="501">
        <f t="shared" ca="1" si="4"/>
        <v>46168</v>
      </c>
      <c r="BK116" s="65"/>
      <c r="BL116" s="65"/>
      <c r="BM116" s="65"/>
      <c r="BN116" s="65"/>
      <c r="BO116" s="65"/>
      <c r="BP116" s="65"/>
      <c r="BQ116" s="65"/>
      <c r="BR116" s="65"/>
      <c r="BS116" s="65"/>
      <c r="BT116" s="61"/>
      <c r="BU116" s="61"/>
      <c r="BV116" s="61"/>
      <c r="BW116" s="403"/>
      <c r="BX116" s="403"/>
      <c r="BY116" s="403"/>
      <c r="BZ116" s="403"/>
      <c r="CA116" s="403"/>
      <c r="CB116" s="403"/>
      <c r="CC116" s="403"/>
      <c r="CD116" s="403"/>
      <c r="CE116" s="403"/>
      <c r="CF116" s="403"/>
      <c r="CG116" s="403"/>
      <c r="CH116" s="403"/>
      <c r="CI116" s="403"/>
      <c r="CJ116" s="403"/>
      <c r="CK116" s="403"/>
      <c r="CL116" s="403"/>
      <c r="CM116" s="403"/>
      <c r="CN116" s="403"/>
      <c r="CO116" s="403"/>
      <c r="CP116" s="403"/>
      <c r="CQ116" s="403"/>
      <c r="CR116" s="1"/>
    </row>
    <row r="117" spans="1:9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403"/>
      <c r="BC117" s="403"/>
      <c r="BD117" s="61"/>
      <c r="BE117" s="65"/>
      <c r="BF117" s="65"/>
      <c r="BG117" s="65"/>
      <c r="BH117" s="88">
        <f t="shared" ca="1" si="7"/>
        <v>46169</v>
      </c>
      <c r="BI117" s="206">
        <f t="shared" ca="1" si="8"/>
        <v>1</v>
      </c>
      <c r="BJ117" s="501">
        <f t="shared" ca="1" si="4"/>
        <v>46169</v>
      </c>
      <c r="BK117" s="65"/>
      <c r="BL117" s="65"/>
      <c r="BM117" s="65"/>
      <c r="BN117" s="65"/>
      <c r="BO117" s="65"/>
      <c r="BP117" s="65"/>
      <c r="BQ117" s="65"/>
      <c r="BR117" s="65"/>
      <c r="BS117" s="65"/>
      <c r="BT117" s="61"/>
      <c r="BU117" s="61"/>
      <c r="BV117" s="61"/>
      <c r="BW117" s="403"/>
      <c r="BX117" s="403"/>
      <c r="BY117" s="403"/>
      <c r="BZ117" s="403"/>
      <c r="CA117" s="403"/>
      <c r="CB117" s="403"/>
      <c r="CC117" s="403"/>
      <c r="CD117" s="403"/>
      <c r="CE117" s="403"/>
      <c r="CF117" s="403"/>
      <c r="CG117" s="403"/>
      <c r="CH117" s="403"/>
      <c r="CI117" s="403"/>
      <c r="CJ117" s="403"/>
      <c r="CK117" s="403"/>
      <c r="CL117" s="403"/>
      <c r="CM117" s="403"/>
      <c r="CN117" s="403"/>
      <c r="CO117" s="403"/>
      <c r="CP117" s="403"/>
      <c r="CQ117" s="403"/>
      <c r="CR117" s="1"/>
    </row>
    <row r="118" spans="1:9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403"/>
      <c r="BC118" s="403"/>
      <c r="BD118" s="61"/>
      <c r="BE118" s="65"/>
      <c r="BF118" s="65"/>
      <c r="BG118" s="65"/>
      <c r="BH118" s="88">
        <f t="shared" ca="1" si="7"/>
        <v>46170</v>
      </c>
      <c r="BI118" s="206">
        <f t="shared" ca="1" si="8"/>
        <v>1</v>
      </c>
      <c r="BJ118" s="501">
        <f t="shared" ca="1" si="4"/>
        <v>46170</v>
      </c>
      <c r="BK118" s="65"/>
      <c r="BL118" s="65"/>
      <c r="BM118" s="65"/>
      <c r="BN118" s="65"/>
      <c r="BO118" s="65"/>
      <c r="BP118" s="65"/>
      <c r="BQ118" s="65"/>
      <c r="BR118" s="65"/>
      <c r="BS118" s="65"/>
      <c r="BT118" s="61"/>
      <c r="BU118" s="61"/>
      <c r="BV118" s="61"/>
      <c r="BW118" s="403"/>
      <c r="BX118" s="403"/>
      <c r="BY118" s="403"/>
      <c r="BZ118" s="403"/>
      <c r="CA118" s="403"/>
      <c r="CB118" s="403"/>
      <c r="CC118" s="403"/>
      <c r="CD118" s="403"/>
      <c r="CE118" s="403"/>
      <c r="CF118" s="403"/>
      <c r="CG118" s="403"/>
      <c r="CH118" s="403"/>
      <c r="CI118" s="403"/>
      <c r="CJ118" s="403"/>
      <c r="CK118" s="403"/>
      <c r="CL118" s="403"/>
      <c r="CM118" s="403"/>
      <c r="CN118" s="403"/>
      <c r="CO118" s="403"/>
      <c r="CP118" s="403"/>
      <c r="CQ118" s="403"/>
      <c r="CR118" s="1"/>
    </row>
    <row r="119" spans="1:9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403"/>
      <c r="BC119" s="403"/>
      <c r="BD119" s="61"/>
      <c r="BE119" s="65"/>
      <c r="BF119" s="65"/>
      <c r="BG119" s="65"/>
      <c r="BH119" s="88">
        <f t="shared" ca="1" si="7"/>
        <v>46171</v>
      </c>
      <c r="BI119" s="206">
        <f t="shared" ca="1" si="8"/>
        <v>1</v>
      </c>
      <c r="BJ119" s="501">
        <f t="shared" ca="1" si="4"/>
        <v>46171</v>
      </c>
      <c r="BK119" s="65"/>
      <c r="BL119" s="65"/>
      <c r="BM119" s="65"/>
      <c r="BN119" s="65"/>
      <c r="BO119" s="65"/>
      <c r="BP119" s="65"/>
      <c r="BQ119" s="65"/>
      <c r="BR119" s="65"/>
      <c r="BS119" s="65"/>
      <c r="BT119" s="61"/>
      <c r="BU119" s="61"/>
      <c r="BV119" s="61"/>
      <c r="BW119" s="403"/>
      <c r="BX119" s="403"/>
      <c r="BY119" s="403"/>
      <c r="BZ119" s="403"/>
      <c r="CA119" s="403"/>
      <c r="CB119" s="403"/>
      <c r="CC119" s="403"/>
      <c r="CD119" s="403"/>
      <c r="CE119" s="403"/>
      <c r="CF119" s="403"/>
      <c r="CG119" s="403"/>
      <c r="CH119" s="403"/>
      <c r="CI119" s="403"/>
      <c r="CJ119" s="403"/>
      <c r="CK119" s="403"/>
      <c r="CL119" s="403"/>
      <c r="CM119" s="403"/>
      <c r="CN119" s="403"/>
      <c r="CO119" s="403"/>
      <c r="CP119" s="403"/>
      <c r="CQ119" s="403"/>
      <c r="CR119" s="1"/>
    </row>
    <row r="120" spans="1:9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403"/>
      <c r="BC120" s="403"/>
      <c r="BD120" s="61"/>
      <c r="BE120" s="65"/>
      <c r="BF120" s="65"/>
      <c r="BG120" s="65"/>
      <c r="BH120" s="88">
        <f t="shared" ca="1" si="7"/>
        <v>46172</v>
      </c>
      <c r="BI120" s="206">
        <f t="shared" ca="1" si="8"/>
        <v>1</v>
      </c>
      <c r="BJ120" s="501">
        <f t="shared" ca="1" si="4"/>
        <v>46172</v>
      </c>
      <c r="BK120" s="65"/>
      <c r="BL120" s="65"/>
      <c r="BM120" s="65"/>
      <c r="BN120" s="65"/>
      <c r="BO120" s="65"/>
      <c r="BP120" s="65"/>
      <c r="BQ120" s="65"/>
      <c r="BR120" s="65"/>
      <c r="BS120" s="65"/>
      <c r="BT120" s="61"/>
      <c r="BU120" s="61"/>
      <c r="BV120" s="61"/>
      <c r="BW120" s="403"/>
      <c r="BX120" s="403"/>
      <c r="BY120" s="403"/>
      <c r="BZ120" s="403"/>
      <c r="CA120" s="403"/>
      <c r="CB120" s="403"/>
      <c r="CC120" s="403"/>
      <c r="CD120" s="403"/>
      <c r="CE120" s="403"/>
      <c r="CF120" s="403"/>
      <c r="CG120" s="403"/>
      <c r="CH120" s="403"/>
      <c r="CI120" s="403"/>
      <c r="CJ120" s="403"/>
      <c r="CK120" s="403"/>
      <c r="CL120" s="403"/>
      <c r="CM120" s="403"/>
      <c r="CN120" s="403"/>
      <c r="CO120" s="403"/>
      <c r="CP120" s="403"/>
      <c r="CQ120" s="403"/>
      <c r="CR120" s="1"/>
    </row>
    <row r="121" spans="1:9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403"/>
      <c r="BC121" s="403"/>
      <c r="BD121" s="61"/>
      <c r="BE121" s="65"/>
      <c r="BF121" s="65"/>
      <c r="BG121" s="65"/>
      <c r="BH121" s="88">
        <f t="shared" ca="1" si="7"/>
        <v>46173</v>
      </c>
      <c r="BI121" s="206">
        <f t="shared" ca="1" si="8"/>
        <v>1</v>
      </c>
      <c r="BJ121" s="501">
        <f t="shared" ca="1" si="4"/>
        <v>46173</v>
      </c>
      <c r="BK121" s="65"/>
      <c r="BL121" s="65"/>
      <c r="BM121" s="65"/>
      <c r="BN121" s="65"/>
      <c r="BO121" s="65"/>
      <c r="BP121" s="65"/>
      <c r="BQ121" s="65"/>
      <c r="BR121" s="65"/>
      <c r="BS121" s="65"/>
      <c r="BT121" s="61"/>
      <c r="BU121" s="61"/>
      <c r="BV121" s="61"/>
      <c r="BW121" s="403"/>
      <c r="BX121" s="403"/>
      <c r="BY121" s="403"/>
      <c r="BZ121" s="403"/>
      <c r="CA121" s="403"/>
      <c r="CB121" s="403"/>
      <c r="CC121" s="403"/>
      <c r="CD121" s="403"/>
      <c r="CE121" s="403"/>
      <c r="CF121" s="403"/>
      <c r="CG121" s="403"/>
      <c r="CH121" s="403"/>
      <c r="CI121" s="403"/>
      <c r="CJ121" s="403"/>
      <c r="CK121" s="403"/>
      <c r="CL121" s="403"/>
      <c r="CM121" s="403"/>
      <c r="CN121" s="403"/>
      <c r="CO121" s="403"/>
      <c r="CP121" s="403"/>
      <c r="CQ121" s="403"/>
      <c r="CR121" s="1"/>
    </row>
    <row r="122" spans="1:9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403"/>
      <c r="BC122" s="403"/>
      <c r="BD122" s="61"/>
      <c r="BE122" s="65"/>
      <c r="BF122" s="65"/>
      <c r="BG122" s="65"/>
      <c r="BH122" s="88">
        <f t="shared" ca="1" si="7"/>
        <v>46174</v>
      </c>
      <c r="BI122" s="206" t="str">
        <f t="shared" ca="1" si="8"/>
        <v/>
      </c>
      <c r="BJ122" s="501" t="str">
        <f t="shared" ca="1" si="4"/>
        <v/>
      </c>
      <c r="BK122" s="65"/>
      <c r="BL122" s="65"/>
      <c r="BM122" s="65"/>
      <c r="BN122" s="65"/>
      <c r="BO122" s="65"/>
      <c r="BP122" s="65"/>
      <c r="BQ122" s="65"/>
      <c r="BR122" s="65"/>
      <c r="BS122" s="65"/>
      <c r="BT122" s="61"/>
      <c r="BU122" s="61"/>
      <c r="BV122" s="61"/>
      <c r="BW122" s="403"/>
      <c r="BX122" s="403"/>
      <c r="BY122" s="403"/>
      <c r="BZ122" s="403"/>
      <c r="CA122" s="403"/>
      <c r="CB122" s="403"/>
      <c r="CC122" s="403"/>
      <c r="CD122" s="403"/>
      <c r="CE122" s="403"/>
      <c r="CF122" s="403"/>
      <c r="CG122" s="403"/>
      <c r="CH122" s="403"/>
      <c r="CI122" s="403"/>
      <c r="CJ122" s="403"/>
      <c r="CK122" s="403"/>
      <c r="CL122" s="403"/>
      <c r="CM122" s="403"/>
      <c r="CN122" s="403"/>
      <c r="CO122" s="403"/>
      <c r="CP122" s="403"/>
      <c r="CQ122" s="403"/>
      <c r="CR122" s="1"/>
    </row>
    <row r="123" spans="1:9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403"/>
      <c r="BC123" s="403"/>
      <c r="BD123" s="61"/>
      <c r="BE123" s="65"/>
      <c r="BF123" s="65"/>
      <c r="BG123" s="65"/>
      <c r="BH123" s="88">
        <f t="shared" ca="1" si="7"/>
        <v>46175</v>
      </c>
      <c r="BI123" s="206">
        <f t="shared" ca="1" si="8"/>
        <v>1</v>
      </c>
      <c r="BJ123" s="501">
        <f t="shared" ca="1" si="4"/>
        <v>46175</v>
      </c>
      <c r="BK123" s="65"/>
      <c r="BL123" s="65"/>
      <c r="BM123" s="65"/>
      <c r="BN123" s="65"/>
      <c r="BO123" s="65"/>
      <c r="BP123" s="65"/>
      <c r="BQ123" s="65"/>
      <c r="BR123" s="65"/>
      <c r="BS123" s="65"/>
      <c r="BT123" s="61"/>
      <c r="BU123" s="61"/>
      <c r="BV123" s="61"/>
      <c r="BW123" s="403"/>
      <c r="BX123" s="403"/>
      <c r="BY123" s="403"/>
      <c r="BZ123" s="403"/>
      <c r="CA123" s="403"/>
      <c r="CB123" s="403"/>
      <c r="CC123" s="403"/>
      <c r="CD123" s="403"/>
      <c r="CE123" s="403"/>
      <c r="CF123" s="403"/>
      <c r="CG123" s="403"/>
      <c r="CH123" s="403"/>
      <c r="CI123" s="403"/>
      <c r="CJ123" s="403"/>
      <c r="CK123" s="403"/>
      <c r="CL123" s="403"/>
      <c r="CM123" s="403"/>
      <c r="CN123" s="403"/>
      <c r="CO123" s="403"/>
      <c r="CP123" s="403"/>
      <c r="CQ123" s="403"/>
      <c r="CR123" s="1"/>
    </row>
    <row r="124" spans="1:9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403"/>
      <c r="BC124" s="403"/>
      <c r="BD124" s="61"/>
      <c r="BE124" s="65"/>
      <c r="BF124" s="65"/>
      <c r="BG124" s="65"/>
      <c r="BH124" s="88">
        <f t="shared" ca="1" si="7"/>
        <v>46176</v>
      </c>
      <c r="BI124" s="206">
        <f t="shared" ca="1" si="8"/>
        <v>1</v>
      </c>
      <c r="BJ124" s="501">
        <f t="shared" ca="1" si="4"/>
        <v>46176</v>
      </c>
      <c r="BK124" s="65"/>
      <c r="BL124" s="65"/>
      <c r="BM124" s="65"/>
      <c r="BN124" s="65"/>
      <c r="BO124" s="65"/>
      <c r="BP124" s="65"/>
      <c r="BQ124" s="65"/>
      <c r="BR124" s="65"/>
      <c r="BS124" s="65"/>
      <c r="BT124" s="61"/>
      <c r="BU124" s="61"/>
      <c r="BV124" s="61"/>
      <c r="BW124" s="403"/>
      <c r="BX124" s="403"/>
      <c r="BY124" s="403"/>
      <c r="BZ124" s="403"/>
      <c r="CA124" s="403"/>
      <c r="CB124" s="403"/>
      <c r="CC124" s="403"/>
      <c r="CD124" s="403"/>
      <c r="CE124" s="403"/>
      <c r="CF124" s="403"/>
      <c r="CG124" s="403"/>
      <c r="CH124" s="403"/>
      <c r="CI124" s="403"/>
      <c r="CJ124" s="403"/>
      <c r="CK124" s="403"/>
      <c r="CL124" s="403"/>
      <c r="CM124" s="403"/>
      <c r="CN124" s="403"/>
      <c r="CO124" s="403"/>
      <c r="CP124" s="403"/>
      <c r="CQ124" s="403"/>
      <c r="CR124" s="1"/>
    </row>
    <row r="125" spans="1:9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403"/>
      <c r="BC125" s="403"/>
      <c r="BD125" s="61"/>
      <c r="BE125" s="65"/>
      <c r="BF125" s="65"/>
      <c r="BG125" s="65"/>
      <c r="BH125" s="88">
        <f t="shared" ca="1" si="7"/>
        <v>46177</v>
      </c>
      <c r="BI125" s="206">
        <f t="shared" ca="1" si="8"/>
        <v>1</v>
      </c>
      <c r="BJ125" s="501">
        <f t="shared" ca="1" si="4"/>
        <v>46177</v>
      </c>
      <c r="BK125" s="65"/>
      <c r="BL125" s="65"/>
      <c r="BM125" s="65"/>
      <c r="BN125" s="65"/>
      <c r="BO125" s="65"/>
      <c r="BP125" s="65"/>
      <c r="BQ125" s="65"/>
      <c r="BR125" s="65"/>
      <c r="BS125" s="65"/>
      <c r="BT125" s="61"/>
      <c r="BU125" s="61"/>
      <c r="BV125" s="61"/>
      <c r="BW125" s="403"/>
      <c r="BX125" s="403"/>
      <c r="BY125" s="403"/>
      <c r="BZ125" s="403"/>
      <c r="CA125" s="403"/>
      <c r="CB125" s="403"/>
      <c r="CC125" s="403"/>
      <c r="CD125" s="403"/>
      <c r="CE125" s="403"/>
      <c r="CF125" s="403"/>
      <c r="CG125" s="403"/>
      <c r="CH125" s="403"/>
      <c r="CI125" s="403"/>
      <c r="CJ125" s="403"/>
      <c r="CK125" s="403"/>
      <c r="CL125" s="403"/>
      <c r="CM125" s="403"/>
      <c r="CN125" s="403"/>
      <c r="CO125" s="403"/>
      <c r="CP125" s="403"/>
      <c r="CQ125" s="403"/>
      <c r="CR125" s="1"/>
    </row>
    <row r="126" spans="1:9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403"/>
      <c r="BC126" s="403"/>
      <c r="BD126" s="61"/>
      <c r="BE126" s="65"/>
      <c r="BF126" s="65"/>
      <c r="BG126" s="65"/>
      <c r="BH126" s="88">
        <f t="shared" ca="1" si="7"/>
        <v>46178</v>
      </c>
      <c r="BI126" s="206">
        <f t="shared" ca="1" si="8"/>
        <v>1</v>
      </c>
      <c r="BJ126" s="501">
        <f t="shared" ca="1" si="4"/>
        <v>46178</v>
      </c>
      <c r="BK126" s="65"/>
      <c r="BL126" s="65"/>
      <c r="BM126" s="65"/>
      <c r="BN126" s="65"/>
      <c r="BO126" s="65"/>
      <c r="BP126" s="65"/>
      <c r="BQ126" s="65"/>
      <c r="BR126" s="65"/>
      <c r="BS126" s="65"/>
      <c r="BT126" s="61"/>
      <c r="BU126" s="61"/>
      <c r="BV126" s="61"/>
      <c r="BW126" s="403"/>
      <c r="BX126" s="403"/>
      <c r="BY126" s="403"/>
      <c r="BZ126" s="403"/>
      <c r="CA126" s="403"/>
      <c r="CB126" s="403"/>
      <c r="CC126" s="403"/>
      <c r="CD126" s="403"/>
      <c r="CE126" s="403"/>
      <c r="CF126" s="403"/>
      <c r="CG126" s="403"/>
      <c r="CH126" s="403"/>
      <c r="CI126" s="403"/>
      <c r="CJ126" s="403"/>
      <c r="CK126" s="403"/>
      <c r="CL126" s="403"/>
      <c r="CM126" s="403"/>
      <c r="CN126" s="403"/>
      <c r="CO126" s="403"/>
      <c r="CP126" s="403"/>
      <c r="CQ126" s="403"/>
      <c r="CR126" s="1"/>
    </row>
    <row r="127" spans="1:9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403"/>
      <c r="BC127" s="403"/>
      <c r="BD127" s="61"/>
      <c r="BE127" s="65"/>
      <c r="BF127" s="65"/>
      <c r="BG127" s="65"/>
      <c r="BH127" s="88">
        <f t="shared" ca="1" si="7"/>
        <v>46179</v>
      </c>
      <c r="BI127" s="206">
        <f t="shared" ca="1" si="8"/>
        <v>1</v>
      </c>
      <c r="BJ127" s="501">
        <f t="shared" ca="1" si="4"/>
        <v>46179</v>
      </c>
      <c r="BK127" s="65"/>
      <c r="BL127" s="65"/>
      <c r="BM127" s="65"/>
      <c r="BN127" s="65"/>
      <c r="BO127" s="65"/>
      <c r="BP127" s="65"/>
      <c r="BQ127" s="65"/>
      <c r="BR127" s="65"/>
      <c r="BS127" s="65"/>
      <c r="BT127" s="61"/>
      <c r="BU127" s="61"/>
      <c r="BV127" s="61"/>
      <c r="BW127" s="403"/>
      <c r="BX127" s="403"/>
      <c r="BY127" s="403"/>
      <c r="BZ127" s="403"/>
      <c r="CA127" s="403"/>
      <c r="CB127" s="403"/>
      <c r="CC127" s="403"/>
      <c r="CD127" s="403"/>
      <c r="CE127" s="403"/>
      <c r="CF127" s="403"/>
      <c r="CG127" s="403"/>
      <c r="CH127" s="403"/>
      <c r="CI127" s="403"/>
      <c r="CJ127" s="403"/>
      <c r="CK127" s="403"/>
      <c r="CL127" s="403"/>
      <c r="CM127" s="403"/>
      <c r="CN127" s="403"/>
      <c r="CO127" s="403"/>
      <c r="CP127" s="403"/>
      <c r="CQ127" s="403"/>
      <c r="CR127" s="1"/>
    </row>
    <row r="128" spans="1:9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403"/>
      <c r="BC128" s="403"/>
      <c r="BD128" s="61"/>
      <c r="BE128" s="65"/>
      <c r="BF128" s="65"/>
      <c r="BG128" s="65"/>
      <c r="BH128" s="88">
        <f t="shared" ca="1" si="7"/>
        <v>46180</v>
      </c>
      <c r="BI128" s="206">
        <f t="shared" ca="1" si="8"/>
        <v>1</v>
      </c>
      <c r="BJ128" s="501">
        <f t="shared" ca="1" si="4"/>
        <v>46180</v>
      </c>
      <c r="BK128" s="65"/>
      <c r="BL128" s="65"/>
      <c r="BM128" s="65"/>
      <c r="BN128" s="65"/>
      <c r="BO128" s="65"/>
      <c r="BP128" s="65"/>
      <c r="BQ128" s="65"/>
      <c r="BR128" s="65"/>
      <c r="BS128" s="65"/>
      <c r="BT128" s="61"/>
      <c r="BU128" s="61"/>
      <c r="BV128" s="61"/>
      <c r="BW128" s="403"/>
      <c r="BX128" s="403"/>
      <c r="BY128" s="403"/>
      <c r="BZ128" s="403"/>
      <c r="CA128" s="403"/>
      <c r="CB128" s="403"/>
      <c r="CC128" s="403"/>
      <c r="CD128" s="403"/>
      <c r="CE128" s="403"/>
      <c r="CF128" s="403"/>
      <c r="CG128" s="403"/>
      <c r="CH128" s="403"/>
      <c r="CI128" s="403"/>
      <c r="CJ128" s="403"/>
      <c r="CK128" s="403"/>
      <c r="CL128" s="403"/>
      <c r="CM128" s="403"/>
      <c r="CN128" s="403"/>
      <c r="CO128" s="403"/>
      <c r="CP128" s="403"/>
      <c r="CQ128" s="403"/>
      <c r="CR128" s="1"/>
    </row>
    <row r="129" spans="1:9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403"/>
      <c r="BC129" s="403"/>
      <c r="BD129" s="61"/>
      <c r="BE129" s="65"/>
      <c r="BF129" s="65"/>
      <c r="BG129" s="65"/>
      <c r="BH129" s="88">
        <f t="shared" ca="1" si="7"/>
        <v>46181</v>
      </c>
      <c r="BI129" s="206" t="str">
        <f t="shared" ca="1" si="8"/>
        <v/>
      </c>
      <c r="BJ129" s="501" t="str">
        <f t="shared" ca="1" si="4"/>
        <v/>
      </c>
      <c r="BK129" s="65"/>
      <c r="BL129" s="65"/>
      <c r="BM129" s="65"/>
      <c r="BN129" s="65"/>
      <c r="BO129" s="65"/>
      <c r="BP129" s="65"/>
      <c r="BQ129" s="65"/>
      <c r="BR129" s="65"/>
      <c r="BS129" s="65"/>
      <c r="BT129" s="61"/>
      <c r="BU129" s="61"/>
      <c r="BV129" s="61"/>
      <c r="BW129" s="403"/>
      <c r="BX129" s="403"/>
      <c r="BY129" s="403"/>
      <c r="BZ129" s="403"/>
      <c r="CA129" s="403"/>
      <c r="CB129" s="403"/>
      <c r="CC129" s="403"/>
      <c r="CD129" s="403"/>
      <c r="CE129" s="403"/>
      <c r="CF129" s="403"/>
      <c r="CG129" s="403"/>
      <c r="CH129" s="403"/>
      <c r="CI129" s="403"/>
      <c r="CJ129" s="403"/>
      <c r="CK129" s="403"/>
      <c r="CL129" s="403"/>
      <c r="CM129" s="403"/>
      <c r="CN129" s="403"/>
      <c r="CO129" s="403"/>
      <c r="CP129" s="403"/>
      <c r="CQ129" s="403"/>
      <c r="CR129" s="1"/>
    </row>
    <row r="130" spans="1:9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403"/>
      <c r="BC130" s="403"/>
      <c r="BD130" s="61"/>
      <c r="BE130" s="65"/>
      <c r="BF130" s="65"/>
      <c r="BG130" s="65"/>
      <c r="BH130" s="88">
        <f t="shared" ca="1" si="7"/>
        <v>46182</v>
      </c>
      <c r="BI130" s="206">
        <f t="shared" ca="1" si="8"/>
        <v>1</v>
      </c>
      <c r="BJ130" s="501">
        <f t="shared" ca="1" si="4"/>
        <v>46182</v>
      </c>
      <c r="BK130" s="65"/>
      <c r="BL130" s="65"/>
      <c r="BM130" s="65"/>
      <c r="BN130" s="65"/>
      <c r="BO130" s="65"/>
      <c r="BP130" s="65"/>
      <c r="BQ130" s="65"/>
      <c r="BR130" s="65"/>
      <c r="BS130" s="65"/>
      <c r="BT130" s="61"/>
      <c r="BU130" s="61"/>
      <c r="BV130" s="61"/>
      <c r="BW130" s="403"/>
      <c r="BX130" s="403"/>
      <c r="BY130" s="403"/>
      <c r="BZ130" s="403"/>
      <c r="CA130" s="403"/>
      <c r="CB130" s="403"/>
      <c r="CC130" s="403"/>
      <c r="CD130" s="403"/>
      <c r="CE130" s="403"/>
      <c r="CF130" s="403"/>
      <c r="CG130" s="403"/>
      <c r="CH130" s="403"/>
      <c r="CI130" s="403"/>
      <c r="CJ130" s="403"/>
      <c r="CK130" s="403"/>
      <c r="CL130" s="403"/>
      <c r="CM130" s="403"/>
      <c r="CN130" s="403"/>
      <c r="CO130" s="403"/>
      <c r="CP130" s="403"/>
      <c r="CQ130" s="403"/>
      <c r="CR130" s="1"/>
    </row>
    <row r="131" spans="1:9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403"/>
      <c r="BC131" s="403"/>
      <c r="BD131" s="61"/>
      <c r="BE131" s="65"/>
      <c r="BF131" s="65"/>
      <c r="BG131" s="65"/>
      <c r="BH131" s="88">
        <f t="shared" ca="1" si="7"/>
        <v>46183</v>
      </c>
      <c r="BI131" s="206">
        <f t="shared" ca="1" si="8"/>
        <v>1</v>
      </c>
      <c r="BJ131" s="501">
        <f t="shared" ca="1" si="4"/>
        <v>46183</v>
      </c>
      <c r="BK131" s="65"/>
      <c r="BL131" s="65"/>
      <c r="BM131" s="65"/>
      <c r="BN131" s="65"/>
      <c r="BO131" s="65"/>
      <c r="BP131" s="65"/>
      <c r="BQ131" s="65"/>
      <c r="BR131" s="65"/>
      <c r="BS131" s="65"/>
      <c r="BT131" s="61"/>
      <c r="BU131" s="61"/>
      <c r="BV131" s="61"/>
      <c r="BW131" s="403"/>
      <c r="BX131" s="403"/>
      <c r="BY131" s="403"/>
      <c r="BZ131" s="403"/>
      <c r="CA131" s="403"/>
      <c r="CB131" s="403"/>
      <c r="CC131" s="403"/>
      <c r="CD131" s="403"/>
      <c r="CE131" s="403"/>
      <c r="CF131" s="403"/>
      <c r="CG131" s="403"/>
      <c r="CH131" s="403"/>
      <c r="CI131" s="403"/>
      <c r="CJ131" s="403"/>
      <c r="CK131" s="403"/>
      <c r="CL131" s="403"/>
      <c r="CM131" s="403"/>
      <c r="CN131" s="403"/>
      <c r="CO131" s="403"/>
      <c r="CP131" s="403"/>
      <c r="CQ131" s="403"/>
      <c r="CR131" s="1"/>
    </row>
    <row r="132" spans="1:9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403"/>
      <c r="BC132" s="403"/>
      <c r="BD132" s="61"/>
      <c r="BE132" s="65"/>
      <c r="BF132" s="65"/>
      <c r="BG132" s="65"/>
      <c r="BH132" s="88">
        <f t="shared" ca="1" si="7"/>
        <v>46184</v>
      </c>
      <c r="BI132" s="206">
        <f t="shared" ca="1" si="8"/>
        <v>1</v>
      </c>
      <c r="BJ132" s="501">
        <f t="shared" ca="1" si="4"/>
        <v>46184</v>
      </c>
      <c r="BK132" s="65"/>
      <c r="BL132" s="65"/>
      <c r="BM132" s="65"/>
      <c r="BN132" s="65"/>
      <c r="BO132" s="65"/>
      <c r="BP132" s="65"/>
      <c r="BQ132" s="65"/>
      <c r="BR132" s="65"/>
      <c r="BS132" s="65"/>
      <c r="BT132" s="61"/>
      <c r="BU132" s="61"/>
      <c r="BV132" s="61"/>
      <c r="BW132" s="403"/>
      <c r="BX132" s="403"/>
      <c r="BY132" s="403"/>
      <c r="BZ132" s="403"/>
      <c r="CA132" s="403"/>
      <c r="CB132" s="403"/>
      <c r="CC132" s="403"/>
      <c r="CD132" s="403"/>
      <c r="CE132" s="403"/>
      <c r="CF132" s="403"/>
      <c r="CG132" s="403"/>
      <c r="CH132" s="403"/>
      <c r="CI132" s="403"/>
      <c r="CJ132" s="403"/>
      <c r="CK132" s="403"/>
      <c r="CL132" s="403"/>
      <c r="CM132" s="403"/>
      <c r="CN132" s="403"/>
      <c r="CO132" s="403"/>
      <c r="CP132" s="403"/>
      <c r="CQ132" s="403"/>
      <c r="CR132" s="1"/>
    </row>
    <row r="133" spans="1:9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403"/>
      <c r="BC133" s="403"/>
      <c r="BD133" s="61"/>
      <c r="BE133" s="65"/>
      <c r="BF133" s="65"/>
      <c r="BG133" s="65"/>
      <c r="BH133" s="88">
        <f t="shared" ca="1" si="7"/>
        <v>46185</v>
      </c>
      <c r="BI133" s="206">
        <f t="shared" ca="1" si="8"/>
        <v>1</v>
      </c>
      <c r="BJ133" s="501">
        <f t="shared" ca="1" si="4"/>
        <v>46185</v>
      </c>
      <c r="BK133" s="65"/>
      <c r="BL133" s="65"/>
      <c r="BM133" s="65"/>
      <c r="BN133" s="65"/>
      <c r="BO133" s="65"/>
      <c r="BP133" s="65"/>
      <c r="BQ133" s="65"/>
      <c r="BR133" s="65"/>
      <c r="BS133" s="65"/>
      <c r="BT133" s="61"/>
      <c r="BU133" s="61"/>
      <c r="BV133" s="61"/>
      <c r="BW133" s="403"/>
      <c r="BX133" s="403"/>
      <c r="BY133" s="403"/>
      <c r="BZ133" s="403"/>
      <c r="CA133" s="403"/>
      <c r="CB133" s="403"/>
      <c r="CC133" s="403"/>
      <c r="CD133" s="403"/>
      <c r="CE133" s="403"/>
      <c r="CF133" s="403"/>
      <c r="CG133" s="403"/>
      <c r="CH133" s="403"/>
      <c r="CI133" s="403"/>
      <c r="CJ133" s="403"/>
      <c r="CK133" s="403"/>
      <c r="CL133" s="403"/>
      <c r="CM133" s="403"/>
      <c r="CN133" s="403"/>
      <c r="CO133" s="403"/>
      <c r="CP133" s="403"/>
      <c r="CQ133" s="403"/>
      <c r="CR133" s="1"/>
    </row>
    <row r="134" spans="1:9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403"/>
      <c r="BC134" s="403"/>
      <c r="BD134" s="61"/>
      <c r="BE134" s="65"/>
      <c r="BF134" s="65"/>
      <c r="BG134" s="65"/>
      <c r="BH134" s="88">
        <f t="shared" ca="1" si="7"/>
        <v>46186</v>
      </c>
      <c r="BI134" s="206">
        <f t="shared" ca="1" si="8"/>
        <v>1</v>
      </c>
      <c r="BJ134" s="501">
        <f t="shared" ca="1" si="4"/>
        <v>46186</v>
      </c>
      <c r="BK134" s="65"/>
      <c r="BL134" s="65"/>
      <c r="BM134" s="65"/>
      <c r="BN134" s="65"/>
      <c r="BO134" s="65"/>
      <c r="BP134" s="65"/>
      <c r="BQ134" s="65"/>
      <c r="BR134" s="65"/>
      <c r="BS134" s="65"/>
      <c r="BT134" s="61"/>
      <c r="BU134" s="61"/>
      <c r="BV134" s="61"/>
      <c r="BW134" s="403"/>
      <c r="BX134" s="403"/>
      <c r="BY134" s="403"/>
      <c r="BZ134" s="403"/>
      <c r="CA134" s="403"/>
      <c r="CB134" s="403"/>
      <c r="CC134" s="403"/>
      <c r="CD134" s="403"/>
      <c r="CE134" s="403"/>
      <c r="CF134" s="403"/>
      <c r="CG134" s="403"/>
      <c r="CH134" s="403"/>
      <c r="CI134" s="403"/>
      <c r="CJ134" s="403"/>
      <c r="CK134" s="403"/>
      <c r="CL134" s="403"/>
      <c r="CM134" s="403"/>
      <c r="CN134" s="403"/>
      <c r="CO134" s="403"/>
      <c r="CP134" s="403"/>
      <c r="CQ134" s="403"/>
      <c r="CR134" s="1"/>
    </row>
    <row r="135" spans="1:9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403"/>
      <c r="BC135" s="403"/>
      <c r="BD135" s="61"/>
      <c r="BE135" s="65"/>
      <c r="BF135" s="65"/>
      <c r="BG135" s="65"/>
      <c r="BH135" s="88">
        <f t="shared" ca="1" si="7"/>
        <v>46187</v>
      </c>
      <c r="BI135" s="206">
        <f t="shared" ca="1" si="8"/>
        <v>1</v>
      </c>
      <c r="BJ135" s="501">
        <f t="shared" ca="1" si="4"/>
        <v>46187</v>
      </c>
      <c r="BK135" s="65"/>
      <c r="BL135" s="65"/>
      <c r="BM135" s="65"/>
      <c r="BN135" s="65"/>
      <c r="BO135" s="65"/>
      <c r="BP135" s="65"/>
      <c r="BQ135" s="65"/>
      <c r="BR135" s="65"/>
      <c r="BS135" s="65"/>
      <c r="BT135" s="61"/>
      <c r="BU135" s="61"/>
      <c r="BV135" s="61"/>
      <c r="BW135" s="403"/>
      <c r="BX135" s="403"/>
      <c r="BY135" s="403"/>
      <c r="BZ135" s="403"/>
      <c r="CA135" s="403"/>
      <c r="CB135" s="403"/>
      <c r="CC135" s="403"/>
      <c r="CD135" s="403"/>
      <c r="CE135" s="403"/>
      <c r="CF135" s="403"/>
      <c r="CG135" s="403"/>
      <c r="CH135" s="403"/>
      <c r="CI135" s="403"/>
      <c r="CJ135" s="403"/>
      <c r="CK135" s="403"/>
      <c r="CL135" s="403"/>
      <c r="CM135" s="403"/>
      <c r="CN135" s="403"/>
      <c r="CO135" s="403"/>
      <c r="CP135" s="403"/>
      <c r="CQ135" s="403"/>
      <c r="CR135" s="1"/>
    </row>
    <row r="136" spans="1:9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403"/>
      <c r="BC136" s="403"/>
      <c r="BD136" s="61"/>
      <c r="BE136" s="65"/>
      <c r="BF136" s="65"/>
      <c r="BG136" s="65"/>
      <c r="BH136" s="88">
        <f t="shared" ca="1" si="7"/>
        <v>46188</v>
      </c>
      <c r="BI136" s="206" t="str">
        <f t="shared" ca="1" si="8"/>
        <v/>
      </c>
      <c r="BJ136" s="501" t="str">
        <f t="shared" ca="1" si="4"/>
        <v/>
      </c>
      <c r="BK136" s="65"/>
      <c r="BL136" s="65"/>
      <c r="BM136" s="65"/>
      <c r="BN136" s="65"/>
      <c r="BO136" s="65"/>
      <c r="BP136" s="65"/>
      <c r="BQ136" s="65"/>
      <c r="BR136" s="65"/>
      <c r="BS136" s="65"/>
      <c r="BT136" s="61"/>
      <c r="BU136" s="61"/>
      <c r="BV136" s="61"/>
      <c r="BW136" s="403"/>
      <c r="BX136" s="403"/>
      <c r="BY136" s="403"/>
      <c r="BZ136" s="403"/>
      <c r="CA136" s="403"/>
      <c r="CB136" s="403"/>
      <c r="CC136" s="403"/>
      <c r="CD136" s="403"/>
      <c r="CE136" s="403"/>
      <c r="CF136" s="403"/>
      <c r="CG136" s="403"/>
      <c r="CH136" s="403"/>
      <c r="CI136" s="403"/>
      <c r="CJ136" s="403"/>
      <c r="CK136" s="403"/>
      <c r="CL136" s="403"/>
      <c r="CM136" s="403"/>
      <c r="CN136" s="403"/>
      <c r="CO136" s="403"/>
      <c r="CP136" s="403"/>
      <c r="CQ136" s="403"/>
      <c r="CR136" s="1"/>
    </row>
    <row r="137" spans="1:9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403"/>
      <c r="BC137" s="403"/>
      <c r="BD137" s="61"/>
      <c r="BE137" s="65"/>
      <c r="BF137" s="65"/>
      <c r="BG137" s="65"/>
      <c r="BH137" s="88">
        <f t="shared" ca="1" si="7"/>
        <v>46189</v>
      </c>
      <c r="BI137" s="206">
        <f t="shared" ca="1" si="8"/>
        <v>1</v>
      </c>
      <c r="BJ137" s="501">
        <f t="shared" ca="1" si="4"/>
        <v>46189</v>
      </c>
      <c r="BK137" s="65"/>
      <c r="BL137" s="65"/>
      <c r="BM137" s="65"/>
      <c r="BN137" s="65"/>
      <c r="BO137" s="65"/>
      <c r="BP137" s="65"/>
      <c r="BQ137" s="65"/>
      <c r="BR137" s="65"/>
      <c r="BS137" s="65"/>
      <c r="BT137" s="61"/>
      <c r="BU137" s="61"/>
      <c r="BV137" s="61"/>
      <c r="BW137" s="403"/>
      <c r="BX137" s="403"/>
      <c r="BY137" s="403"/>
      <c r="BZ137" s="403"/>
      <c r="CA137" s="403"/>
      <c r="CB137" s="403"/>
      <c r="CC137" s="403"/>
      <c r="CD137" s="403"/>
      <c r="CE137" s="403"/>
      <c r="CF137" s="403"/>
      <c r="CG137" s="403"/>
      <c r="CH137" s="403"/>
      <c r="CI137" s="403"/>
      <c r="CJ137" s="403"/>
      <c r="CK137" s="403"/>
      <c r="CL137" s="403"/>
      <c r="CM137" s="403"/>
      <c r="CN137" s="403"/>
      <c r="CO137" s="403"/>
      <c r="CP137" s="403"/>
      <c r="CQ137" s="403"/>
      <c r="CR137" s="1"/>
    </row>
    <row r="138" spans="1:9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403"/>
      <c r="BC138" s="403"/>
      <c r="BD138" s="61"/>
      <c r="BE138" s="65"/>
      <c r="BF138" s="65"/>
      <c r="BG138" s="65"/>
      <c r="BH138" s="88">
        <f t="shared" ca="1" si="7"/>
        <v>46190</v>
      </c>
      <c r="BI138" s="206">
        <f t="shared" ca="1" si="8"/>
        <v>1</v>
      </c>
      <c r="BJ138" s="501">
        <f t="shared" ca="1" si="4"/>
        <v>46190</v>
      </c>
      <c r="BK138" s="65"/>
      <c r="BL138" s="65"/>
      <c r="BM138" s="65"/>
      <c r="BN138" s="65"/>
      <c r="BO138" s="65"/>
      <c r="BP138" s="65"/>
      <c r="BQ138" s="65"/>
      <c r="BR138" s="65"/>
      <c r="BS138" s="65"/>
      <c r="BT138" s="61"/>
      <c r="BU138" s="61"/>
      <c r="BV138" s="61"/>
      <c r="BW138" s="403"/>
      <c r="BX138" s="403"/>
      <c r="BY138" s="403"/>
      <c r="BZ138" s="403"/>
      <c r="CA138" s="403"/>
      <c r="CB138" s="403"/>
      <c r="CC138" s="403"/>
      <c r="CD138" s="403"/>
      <c r="CE138" s="403"/>
      <c r="CF138" s="403"/>
      <c r="CG138" s="403"/>
      <c r="CH138" s="403"/>
      <c r="CI138" s="403"/>
      <c r="CJ138" s="403"/>
      <c r="CK138" s="403"/>
      <c r="CL138" s="403"/>
      <c r="CM138" s="403"/>
      <c r="CN138" s="403"/>
      <c r="CO138" s="403"/>
      <c r="CP138" s="403"/>
      <c r="CQ138" s="403"/>
      <c r="CR138" s="1"/>
    </row>
    <row r="139" spans="1:9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403"/>
      <c r="BC139" s="403"/>
      <c r="BD139" s="61"/>
      <c r="BE139" s="65"/>
      <c r="BF139" s="65"/>
      <c r="BG139" s="65"/>
      <c r="BH139" s="88">
        <f t="shared" ca="1" si="7"/>
        <v>46191</v>
      </c>
      <c r="BI139" s="206">
        <f t="shared" ca="1" si="8"/>
        <v>1</v>
      </c>
      <c r="BJ139" s="501">
        <f t="shared" ca="1" si="4"/>
        <v>46191</v>
      </c>
      <c r="BK139" s="65"/>
      <c r="BL139" s="65"/>
      <c r="BM139" s="65"/>
      <c r="BN139" s="65"/>
      <c r="BO139" s="65"/>
      <c r="BP139" s="65"/>
      <c r="BQ139" s="65"/>
      <c r="BR139" s="65"/>
      <c r="BS139" s="65"/>
      <c r="BT139" s="61"/>
      <c r="BU139" s="61"/>
      <c r="BV139" s="61"/>
      <c r="BW139" s="403"/>
      <c r="BX139" s="403"/>
      <c r="BY139" s="403"/>
      <c r="BZ139" s="403"/>
      <c r="CA139" s="403"/>
      <c r="CB139" s="403"/>
      <c r="CC139" s="403"/>
      <c r="CD139" s="403"/>
      <c r="CE139" s="403"/>
      <c r="CF139" s="403"/>
      <c r="CG139" s="403"/>
      <c r="CH139" s="403"/>
      <c r="CI139" s="403"/>
      <c r="CJ139" s="403"/>
      <c r="CK139" s="403"/>
      <c r="CL139" s="403"/>
      <c r="CM139" s="403"/>
      <c r="CN139" s="403"/>
      <c r="CO139" s="403"/>
      <c r="CP139" s="403"/>
      <c r="CQ139" s="403"/>
      <c r="CR139" s="1"/>
    </row>
    <row r="140" spans="1:9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403"/>
      <c r="BC140" s="403"/>
      <c r="BD140" s="61"/>
      <c r="BE140" s="65"/>
      <c r="BF140" s="65"/>
      <c r="BG140" s="65"/>
      <c r="BH140" s="88">
        <f t="shared" ca="1" si="7"/>
        <v>46192</v>
      </c>
      <c r="BI140" s="206">
        <f t="shared" ca="1" si="8"/>
        <v>1</v>
      </c>
      <c r="BJ140" s="501">
        <f t="shared" ca="1" si="4"/>
        <v>46192</v>
      </c>
      <c r="BK140" s="65"/>
      <c r="BL140" s="65"/>
      <c r="BM140" s="65"/>
      <c r="BN140" s="65"/>
      <c r="BO140" s="65"/>
      <c r="BP140" s="65"/>
      <c r="BQ140" s="65"/>
      <c r="BR140" s="65"/>
      <c r="BS140" s="65"/>
      <c r="BT140" s="61"/>
      <c r="BU140" s="61"/>
      <c r="BV140" s="61"/>
      <c r="BW140" s="403"/>
      <c r="BX140" s="403"/>
      <c r="BY140" s="403"/>
      <c r="BZ140" s="403"/>
      <c r="CA140" s="403"/>
      <c r="CB140" s="403"/>
      <c r="CC140" s="403"/>
      <c r="CD140" s="403"/>
      <c r="CE140" s="403"/>
      <c r="CF140" s="403"/>
      <c r="CG140" s="403"/>
      <c r="CH140" s="403"/>
      <c r="CI140" s="403"/>
      <c r="CJ140" s="403"/>
      <c r="CK140" s="403"/>
      <c r="CL140" s="403"/>
      <c r="CM140" s="403"/>
      <c r="CN140" s="403"/>
      <c r="CO140" s="403"/>
      <c r="CP140" s="403"/>
      <c r="CQ140" s="403"/>
      <c r="CR140" s="1"/>
    </row>
    <row r="141" spans="1:9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403"/>
      <c r="BC141" s="403"/>
      <c r="BD141" s="61"/>
      <c r="BE141" s="65"/>
      <c r="BF141" s="65"/>
      <c r="BG141" s="65"/>
      <c r="BH141" s="88">
        <f t="shared" ca="1" si="7"/>
        <v>46193</v>
      </c>
      <c r="BI141" s="206">
        <f t="shared" ca="1" si="8"/>
        <v>1</v>
      </c>
      <c r="BJ141" s="501">
        <f t="shared" ca="1" si="4"/>
        <v>46193</v>
      </c>
      <c r="BK141" s="65"/>
      <c r="BL141" s="65"/>
      <c r="BM141" s="65"/>
      <c r="BN141" s="65"/>
      <c r="BO141" s="65"/>
      <c r="BP141" s="65"/>
      <c r="BQ141" s="65"/>
      <c r="BR141" s="65"/>
      <c r="BS141" s="65"/>
      <c r="BT141" s="61"/>
      <c r="BU141" s="61"/>
      <c r="BV141" s="61"/>
      <c r="BW141" s="403"/>
      <c r="BX141" s="403"/>
      <c r="BY141" s="403"/>
      <c r="BZ141" s="403"/>
      <c r="CA141" s="403"/>
      <c r="CB141" s="403"/>
      <c r="CC141" s="403"/>
      <c r="CD141" s="403"/>
      <c r="CE141" s="403"/>
      <c r="CF141" s="403"/>
      <c r="CG141" s="403"/>
      <c r="CH141" s="403"/>
      <c r="CI141" s="403"/>
      <c r="CJ141" s="403"/>
      <c r="CK141" s="403"/>
      <c r="CL141" s="403"/>
      <c r="CM141" s="403"/>
      <c r="CN141" s="403"/>
      <c r="CO141" s="403"/>
      <c r="CP141" s="403"/>
      <c r="CQ141" s="403"/>
      <c r="CR141" s="1"/>
    </row>
    <row r="142" spans="1:9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403"/>
      <c r="BC142" s="403"/>
      <c r="BD142" s="61"/>
      <c r="BE142" s="65"/>
      <c r="BF142" s="65"/>
      <c r="BG142" s="65"/>
      <c r="BH142" s="88">
        <f t="shared" ca="1" si="7"/>
        <v>46194</v>
      </c>
      <c r="BI142" s="206">
        <f t="shared" ca="1" si="8"/>
        <v>1</v>
      </c>
      <c r="BJ142" s="501">
        <f t="shared" ca="1" si="4"/>
        <v>46194</v>
      </c>
      <c r="BK142" s="65"/>
      <c r="BL142" s="65"/>
      <c r="BM142" s="65"/>
      <c r="BN142" s="65"/>
      <c r="BO142" s="65"/>
      <c r="BP142" s="65"/>
      <c r="BQ142" s="65"/>
      <c r="BR142" s="65"/>
      <c r="BS142" s="65"/>
      <c r="BT142" s="61"/>
      <c r="BU142" s="61"/>
      <c r="BV142" s="61"/>
      <c r="BW142" s="403"/>
      <c r="BX142" s="403"/>
      <c r="BY142" s="403"/>
      <c r="BZ142" s="403"/>
      <c r="CA142" s="403"/>
      <c r="CB142" s="403"/>
      <c r="CC142" s="403"/>
      <c r="CD142" s="403"/>
      <c r="CE142" s="403"/>
      <c r="CF142" s="403"/>
      <c r="CG142" s="403"/>
      <c r="CH142" s="403"/>
      <c r="CI142" s="403"/>
      <c r="CJ142" s="403"/>
      <c r="CK142" s="403"/>
      <c r="CL142" s="403"/>
      <c r="CM142" s="403"/>
      <c r="CN142" s="403"/>
      <c r="CO142" s="403"/>
      <c r="CP142" s="403"/>
      <c r="CQ142" s="403"/>
      <c r="CR142" s="1"/>
    </row>
    <row r="143" spans="1:9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403"/>
      <c r="BC143" s="403"/>
      <c r="BD143" s="61"/>
      <c r="BE143" s="65"/>
      <c r="BF143" s="65"/>
      <c r="BG143" s="65"/>
      <c r="BH143" s="88">
        <f t="shared" ca="1" si="7"/>
        <v>46195</v>
      </c>
      <c r="BI143" s="206" t="str">
        <f t="shared" ca="1" si="8"/>
        <v/>
      </c>
      <c r="BJ143" s="501" t="str">
        <f t="shared" ca="1" si="4"/>
        <v/>
      </c>
      <c r="BK143" s="65"/>
      <c r="BL143" s="65"/>
      <c r="BM143" s="65"/>
      <c r="BN143" s="65"/>
      <c r="BO143" s="65"/>
      <c r="BP143" s="65"/>
      <c r="BQ143" s="65"/>
      <c r="BR143" s="65"/>
      <c r="BS143" s="65"/>
      <c r="BT143" s="61"/>
      <c r="BU143" s="61"/>
      <c r="BV143" s="61"/>
      <c r="BW143" s="403"/>
      <c r="BX143" s="403"/>
      <c r="BY143" s="403"/>
      <c r="BZ143" s="403"/>
      <c r="CA143" s="403"/>
      <c r="CB143" s="403"/>
      <c r="CC143" s="403"/>
      <c r="CD143" s="403"/>
      <c r="CE143" s="403"/>
      <c r="CF143" s="403"/>
      <c r="CG143" s="403"/>
      <c r="CH143" s="403"/>
      <c r="CI143" s="403"/>
      <c r="CJ143" s="403"/>
      <c r="CK143" s="403"/>
      <c r="CL143" s="403"/>
      <c r="CM143" s="403"/>
      <c r="CN143" s="403"/>
      <c r="CO143" s="403"/>
      <c r="CP143" s="403"/>
      <c r="CQ143" s="403"/>
      <c r="CR143" s="1"/>
    </row>
    <row r="144" spans="1:9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403"/>
      <c r="BC144" s="403"/>
      <c r="BD144" s="61"/>
      <c r="BE144" s="65"/>
      <c r="BF144" s="65"/>
      <c r="BG144" s="65"/>
      <c r="BH144" s="88">
        <f t="shared" ca="1" si="7"/>
        <v>46196</v>
      </c>
      <c r="BI144" s="206">
        <f t="shared" ca="1" si="8"/>
        <v>1</v>
      </c>
      <c r="BJ144" s="501">
        <f t="shared" ca="1" si="4"/>
        <v>46196</v>
      </c>
      <c r="BK144" s="65"/>
      <c r="BL144" s="65"/>
      <c r="BM144" s="65"/>
      <c r="BN144" s="65"/>
      <c r="BO144" s="65"/>
      <c r="BP144" s="65"/>
      <c r="BQ144" s="65"/>
      <c r="BR144" s="65"/>
      <c r="BS144" s="65"/>
      <c r="BT144" s="61"/>
      <c r="BU144" s="61"/>
      <c r="BV144" s="61"/>
      <c r="BW144" s="403"/>
      <c r="BX144" s="403"/>
      <c r="BY144" s="403"/>
      <c r="BZ144" s="403"/>
      <c r="CA144" s="403"/>
      <c r="CB144" s="403"/>
      <c r="CC144" s="403"/>
      <c r="CD144" s="403"/>
      <c r="CE144" s="403"/>
      <c r="CF144" s="403"/>
      <c r="CG144" s="403"/>
      <c r="CH144" s="403"/>
      <c r="CI144" s="403"/>
      <c r="CJ144" s="403"/>
      <c r="CK144" s="403"/>
      <c r="CL144" s="403"/>
      <c r="CM144" s="403"/>
      <c r="CN144" s="403"/>
      <c r="CO144" s="403"/>
      <c r="CP144" s="403"/>
      <c r="CQ144" s="403"/>
      <c r="CR144" s="1"/>
    </row>
    <row r="145" spans="1:9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403"/>
      <c r="BC145" s="403"/>
      <c r="BD145" s="61"/>
      <c r="BE145" s="65"/>
      <c r="BF145" s="65"/>
      <c r="BG145" s="65"/>
      <c r="BH145" s="88">
        <f t="shared" ca="1" si="7"/>
        <v>46197</v>
      </c>
      <c r="BI145" s="206">
        <f t="shared" ca="1" si="8"/>
        <v>1</v>
      </c>
      <c r="BJ145" s="501">
        <f t="shared" ca="1" si="4"/>
        <v>46197</v>
      </c>
      <c r="BK145" s="65"/>
      <c r="BL145" s="65"/>
      <c r="BM145" s="65"/>
      <c r="BN145" s="65"/>
      <c r="BO145" s="65"/>
      <c r="BP145" s="65"/>
      <c r="BQ145" s="65"/>
      <c r="BR145" s="65"/>
      <c r="BS145" s="65"/>
      <c r="BT145" s="61"/>
      <c r="BU145" s="61"/>
      <c r="BV145" s="61"/>
      <c r="BW145" s="403"/>
      <c r="BX145" s="403"/>
      <c r="BY145" s="403"/>
      <c r="BZ145" s="403"/>
      <c r="CA145" s="403"/>
      <c r="CB145" s="403"/>
      <c r="CC145" s="403"/>
      <c r="CD145" s="403"/>
      <c r="CE145" s="403"/>
      <c r="CF145" s="403"/>
      <c r="CG145" s="403"/>
      <c r="CH145" s="403"/>
      <c r="CI145" s="403"/>
      <c r="CJ145" s="403"/>
      <c r="CK145" s="403"/>
      <c r="CL145" s="403"/>
      <c r="CM145" s="403"/>
      <c r="CN145" s="403"/>
      <c r="CO145" s="403"/>
      <c r="CP145" s="403"/>
      <c r="CQ145" s="403"/>
      <c r="CR145" s="1"/>
    </row>
    <row r="146" spans="1:9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403"/>
      <c r="BC146" s="403"/>
      <c r="BD146" s="61"/>
      <c r="BE146" s="65"/>
      <c r="BF146" s="65"/>
      <c r="BG146" s="65"/>
      <c r="BH146" s="88">
        <f t="shared" ca="1" si="7"/>
        <v>46198</v>
      </c>
      <c r="BI146" s="206">
        <f t="shared" ca="1" si="8"/>
        <v>1</v>
      </c>
      <c r="BJ146" s="501">
        <f t="shared" ca="1" si="4"/>
        <v>46198</v>
      </c>
      <c r="BK146" s="65"/>
      <c r="BL146" s="65"/>
      <c r="BM146" s="65"/>
      <c r="BN146" s="65"/>
      <c r="BO146" s="65"/>
      <c r="BP146" s="65"/>
      <c r="BQ146" s="65"/>
      <c r="BR146" s="65"/>
      <c r="BS146" s="65"/>
      <c r="BT146" s="61"/>
      <c r="BU146" s="61"/>
      <c r="BV146" s="61"/>
      <c r="BW146" s="403"/>
      <c r="BX146" s="403"/>
      <c r="BY146" s="403"/>
      <c r="BZ146" s="403"/>
      <c r="CA146" s="403"/>
      <c r="CB146" s="403"/>
      <c r="CC146" s="403"/>
      <c r="CD146" s="403"/>
      <c r="CE146" s="403"/>
      <c r="CF146" s="403"/>
      <c r="CG146" s="403"/>
      <c r="CH146" s="403"/>
      <c r="CI146" s="403"/>
      <c r="CJ146" s="403"/>
      <c r="CK146" s="403"/>
      <c r="CL146" s="403"/>
      <c r="CM146" s="403"/>
      <c r="CN146" s="403"/>
      <c r="CO146" s="403"/>
      <c r="CP146" s="403"/>
      <c r="CQ146" s="403"/>
      <c r="CR146" s="1"/>
    </row>
    <row r="147" spans="1:9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403"/>
      <c r="BC147" s="403"/>
      <c r="BD147" s="61"/>
      <c r="BE147" s="65"/>
      <c r="BF147" s="65"/>
      <c r="BG147" s="65"/>
      <c r="BH147" s="88">
        <f t="shared" ca="1" si="7"/>
        <v>46199</v>
      </c>
      <c r="BI147" s="206">
        <f t="shared" ca="1" si="8"/>
        <v>1</v>
      </c>
      <c r="BJ147" s="501">
        <f t="shared" ca="1" si="4"/>
        <v>46199</v>
      </c>
      <c r="BK147" s="65"/>
      <c r="BL147" s="65"/>
      <c r="BM147" s="65"/>
      <c r="BN147" s="65"/>
      <c r="BO147" s="65"/>
      <c r="BP147" s="65"/>
      <c r="BQ147" s="65"/>
      <c r="BR147" s="65"/>
      <c r="BS147" s="65"/>
      <c r="BT147" s="61"/>
      <c r="BU147" s="61"/>
      <c r="BV147" s="61"/>
      <c r="BW147" s="403"/>
      <c r="BX147" s="403"/>
      <c r="BY147" s="403"/>
      <c r="BZ147" s="403"/>
      <c r="CA147" s="403"/>
      <c r="CB147" s="403"/>
      <c r="CC147" s="403"/>
      <c r="CD147" s="403"/>
      <c r="CE147" s="403"/>
      <c r="CF147" s="403"/>
      <c r="CG147" s="403"/>
      <c r="CH147" s="403"/>
      <c r="CI147" s="403"/>
      <c r="CJ147" s="403"/>
      <c r="CK147" s="403"/>
      <c r="CL147" s="403"/>
      <c r="CM147" s="403"/>
      <c r="CN147" s="403"/>
      <c r="CO147" s="403"/>
      <c r="CP147" s="403"/>
      <c r="CQ147" s="403"/>
      <c r="CR147" s="1"/>
    </row>
    <row r="148" spans="1:9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403"/>
      <c r="BC148" s="403"/>
      <c r="BD148" s="61"/>
      <c r="BE148" s="65"/>
      <c r="BF148" s="65"/>
      <c r="BG148" s="65"/>
      <c r="BH148" s="88">
        <f t="shared" ca="1" si="7"/>
        <v>46200</v>
      </c>
      <c r="BI148" s="206">
        <f t="shared" ca="1" si="8"/>
        <v>1</v>
      </c>
      <c r="BJ148" s="501">
        <f t="shared" ca="1" si="4"/>
        <v>46200</v>
      </c>
      <c r="BK148" s="65"/>
      <c r="BL148" s="65"/>
      <c r="BM148" s="65"/>
      <c r="BN148" s="65"/>
      <c r="BO148" s="65"/>
      <c r="BP148" s="65"/>
      <c r="BQ148" s="65"/>
      <c r="BR148" s="65"/>
      <c r="BS148" s="65"/>
      <c r="BT148" s="61"/>
      <c r="BU148" s="61"/>
      <c r="BV148" s="61"/>
      <c r="BW148" s="403"/>
      <c r="BX148" s="403"/>
      <c r="BY148" s="403"/>
      <c r="BZ148" s="403"/>
      <c r="CA148" s="403"/>
      <c r="CB148" s="403"/>
      <c r="CC148" s="403"/>
      <c r="CD148" s="403"/>
      <c r="CE148" s="403"/>
      <c r="CF148" s="403"/>
      <c r="CG148" s="403"/>
      <c r="CH148" s="403"/>
      <c r="CI148" s="403"/>
      <c r="CJ148" s="403"/>
      <c r="CK148" s="403"/>
      <c r="CL148" s="403"/>
      <c r="CM148" s="403"/>
      <c r="CN148" s="403"/>
      <c r="CO148" s="403"/>
      <c r="CP148" s="403"/>
      <c r="CQ148" s="403"/>
      <c r="CR148" s="1"/>
    </row>
    <row r="149" spans="1:9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403"/>
      <c r="BC149" s="403"/>
      <c r="BD149" s="61"/>
      <c r="BE149" s="65"/>
      <c r="BF149" s="65"/>
      <c r="BG149" s="65"/>
      <c r="BH149" s="88">
        <f t="shared" ca="1" si="7"/>
        <v>46201</v>
      </c>
      <c r="BI149" s="206">
        <f t="shared" ca="1" si="8"/>
        <v>1</v>
      </c>
      <c r="BJ149" s="501">
        <f t="shared" ca="1" si="4"/>
        <v>46201</v>
      </c>
      <c r="BK149" s="65"/>
      <c r="BL149" s="65"/>
      <c r="BM149" s="65"/>
      <c r="BN149" s="65"/>
      <c r="BO149" s="65"/>
      <c r="BP149" s="65"/>
      <c r="BQ149" s="65"/>
      <c r="BR149" s="65"/>
      <c r="BS149" s="65"/>
      <c r="BT149" s="61"/>
      <c r="BU149" s="61"/>
      <c r="BV149" s="61"/>
      <c r="BW149" s="403"/>
      <c r="BX149" s="403"/>
      <c r="BY149" s="403"/>
      <c r="BZ149" s="403"/>
      <c r="CA149" s="403"/>
      <c r="CB149" s="403"/>
      <c r="CC149" s="403"/>
      <c r="CD149" s="403"/>
      <c r="CE149" s="403"/>
      <c r="CF149" s="403"/>
      <c r="CG149" s="403"/>
      <c r="CH149" s="403"/>
      <c r="CI149" s="403"/>
      <c r="CJ149" s="403"/>
      <c r="CK149" s="403"/>
      <c r="CL149" s="403"/>
      <c r="CM149" s="403"/>
      <c r="CN149" s="403"/>
      <c r="CO149" s="403"/>
      <c r="CP149" s="403"/>
      <c r="CQ149" s="403"/>
      <c r="CR149" s="1"/>
    </row>
    <row r="150" spans="1:9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403"/>
      <c r="BC150" s="403"/>
      <c r="BD150" s="61"/>
      <c r="BE150" s="65"/>
      <c r="BF150" s="65"/>
      <c r="BG150" s="65"/>
      <c r="BH150" s="88">
        <f t="shared" ca="1" si="7"/>
        <v>46202</v>
      </c>
      <c r="BI150" s="206" t="str">
        <f t="shared" ca="1" si="8"/>
        <v/>
      </c>
      <c r="BJ150" s="501" t="str">
        <f t="shared" ca="1" si="4"/>
        <v/>
      </c>
      <c r="BK150" s="65"/>
      <c r="BL150" s="65"/>
      <c r="BM150" s="65"/>
      <c r="BN150" s="65"/>
      <c r="BO150" s="65"/>
      <c r="BP150" s="65"/>
      <c r="BQ150" s="65"/>
      <c r="BR150" s="65"/>
      <c r="BS150" s="65"/>
      <c r="BT150" s="61"/>
      <c r="BU150" s="61"/>
      <c r="BV150" s="61"/>
      <c r="BW150" s="403"/>
      <c r="BX150" s="403"/>
      <c r="BY150" s="403"/>
      <c r="BZ150" s="403"/>
      <c r="CA150" s="403"/>
      <c r="CB150" s="403"/>
      <c r="CC150" s="403"/>
      <c r="CD150" s="403"/>
      <c r="CE150" s="403"/>
      <c r="CF150" s="403"/>
      <c r="CG150" s="403"/>
      <c r="CH150" s="403"/>
      <c r="CI150" s="403"/>
      <c r="CJ150" s="403"/>
      <c r="CK150" s="403"/>
      <c r="CL150" s="403"/>
      <c r="CM150" s="403"/>
      <c r="CN150" s="403"/>
      <c r="CO150" s="403"/>
      <c r="CP150" s="403"/>
      <c r="CQ150" s="403"/>
      <c r="CR150" s="1"/>
    </row>
    <row r="151" spans="1:9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403"/>
      <c r="BC151" s="403"/>
      <c r="BD151" s="61"/>
      <c r="BE151" s="65"/>
      <c r="BF151" s="65"/>
      <c r="BG151" s="65"/>
      <c r="BH151" s="88">
        <f t="shared" ca="1" si="7"/>
        <v>46203</v>
      </c>
      <c r="BI151" s="206">
        <f t="shared" ca="1" si="8"/>
        <v>1</v>
      </c>
      <c r="BJ151" s="501">
        <f t="shared" ca="1" si="4"/>
        <v>46203</v>
      </c>
      <c r="BK151" s="65"/>
      <c r="BL151" s="65"/>
      <c r="BM151" s="65"/>
      <c r="BN151" s="65"/>
      <c r="BO151" s="65"/>
      <c r="BP151" s="65"/>
      <c r="BQ151" s="65"/>
      <c r="BR151" s="65"/>
      <c r="BS151" s="65"/>
      <c r="BT151" s="61"/>
      <c r="BU151" s="61"/>
      <c r="BV151" s="61"/>
      <c r="BW151" s="403"/>
      <c r="BX151" s="403"/>
      <c r="BY151" s="403"/>
      <c r="BZ151" s="403"/>
      <c r="CA151" s="403"/>
      <c r="CB151" s="403"/>
      <c r="CC151" s="403"/>
      <c r="CD151" s="403"/>
      <c r="CE151" s="403"/>
      <c r="CF151" s="403"/>
      <c r="CG151" s="403"/>
      <c r="CH151" s="403"/>
      <c r="CI151" s="403"/>
      <c r="CJ151" s="403"/>
      <c r="CK151" s="403"/>
      <c r="CL151" s="403"/>
      <c r="CM151" s="403"/>
      <c r="CN151" s="403"/>
      <c r="CO151" s="403"/>
      <c r="CP151" s="403"/>
      <c r="CQ151" s="403"/>
      <c r="CR151" s="1"/>
    </row>
    <row r="152" spans="1:9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403"/>
      <c r="BC152" s="403"/>
      <c r="BD152" s="61"/>
      <c r="BE152" s="65"/>
      <c r="BF152" s="65"/>
      <c r="BG152" s="65"/>
      <c r="BH152" s="88">
        <f t="shared" ca="1" si="7"/>
        <v>46204</v>
      </c>
      <c r="BI152" s="206">
        <f t="shared" ca="1" si="8"/>
        <v>1</v>
      </c>
      <c r="BJ152" s="501">
        <f t="shared" ca="1" si="4"/>
        <v>46204</v>
      </c>
      <c r="BK152" s="65"/>
      <c r="BL152" s="65"/>
      <c r="BM152" s="65"/>
      <c r="BN152" s="65"/>
      <c r="BO152" s="65"/>
      <c r="BP152" s="65"/>
      <c r="BQ152" s="65"/>
      <c r="BR152" s="65"/>
      <c r="BS152" s="65"/>
      <c r="BT152" s="498"/>
      <c r="BU152" s="498"/>
      <c r="BV152" s="498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</row>
    <row r="153" spans="1:9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403"/>
      <c r="BC153" s="403"/>
      <c r="BD153" s="61"/>
      <c r="BE153" s="65"/>
      <c r="BF153" s="65"/>
      <c r="BG153" s="65"/>
      <c r="BH153" s="88">
        <f t="shared" ca="1" si="7"/>
        <v>46205</v>
      </c>
      <c r="BI153" s="206">
        <f t="shared" ca="1" si="8"/>
        <v>1</v>
      </c>
      <c r="BJ153" s="501">
        <f t="shared" ca="1" si="4"/>
        <v>46205</v>
      </c>
      <c r="BK153" s="65"/>
      <c r="BL153" s="65"/>
      <c r="BM153" s="65"/>
      <c r="BN153" s="65"/>
      <c r="BO153" s="65"/>
      <c r="BP153" s="65"/>
      <c r="BQ153" s="65"/>
      <c r="BR153" s="65"/>
      <c r="BS153" s="65"/>
      <c r="BT153" s="498"/>
      <c r="BU153" s="498"/>
      <c r="BV153" s="498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</row>
    <row r="154" spans="1:9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403"/>
      <c r="BC154" s="403"/>
      <c r="BD154" s="61"/>
      <c r="BE154" s="65"/>
      <c r="BF154" s="65"/>
      <c r="BG154" s="65"/>
      <c r="BH154" s="88">
        <f t="shared" ca="1" si="7"/>
        <v>46206</v>
      </c>
      <c r="BI154" s="206">
        <f t="shared" ca="1" si="8"/>
        <v>1</v>
      </c>
      <c r="BJ154" s="501">
        <f t="shared" ca="1" si="4"/>
        <v>46206</v>
      </c>
      <c r="BK154" s="65"/>
      <c r="BL154" s="65"/>
      <c r="BM154" s="65"/>
      <c r="BN154" s="65"/>
      <c r="BO154" s="65"/>
      <c r="BP154" s="65"/>
      <c r="BQ154" s="65"/>
      <c r="BR154" s="65"/>
      <c r="BS154" s="65"/>
      <c r="BT154" s="498"/>
      <c r="BU154" s="498"/>
      <c r="BV154" s="498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</row>
    <row r="155" spans="1:9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403"/>
      <c r="BC155" s="403"/>
      <c r="BD155" s="61"/>
      <c r="BE155" s="65"/>
      <c r="BF155" s="65"/>
      <c r="BG155" s="65"/>
      <c r="BH155" s="88">
        <f t="shared" ca="1" si="7"/>
        <v>46207</v>
      </c>
      <c r="BI155" s="206">
        <f t="shared" ca="1" si="8"/>
        <v>1</v>
      </c>
      <c r="BJ155" s="501">
        <f t="shared" ca="1" si="4"/>
        <v>46207</v>
      </c>
      <c r="BK155" s="65"/>
      <c r="BL155" s="65"/>
      <c r="BM155" s="65"/>
      <c r="BN155" s="65"/>
      <c r="BO155" s="65"/>
      <c r="BP155" s="65"/>
      <c r="BQ155" s="65"/>
      <c r="BR155" s="65"/>
      <c r="BS155" s="65"/>
      <c r="BT155" s="498"/>
      <c r="BU155" s="498"/>
      <c r="BV155" s="498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</row>
    <row r="156" spans="1:9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403"/>
      <c r="BC156" s="403"/>
      <c r="BD156" s="61"/>
      <c r="BE156" s="65"/>
      <c r="BF156" s="65"/>
      <c r="BG156" s="65"/>
      <c r="BH156" s="88">
        <f t="shared" ca="1" si="7"/>
        <v>46208</v>
      </c>
      <c r="BI156" s="206">
        <f t="shared" ca="1" si="8"/>
        <v>1</v>
      </c>
      <c r="BJ156" s="501">
        <f t="shared" ca="1" si="4"/>
        <v>46208</v>
      </c>
      <c r="BK156" s="65"/>
      <c r="BL156" s="65"/>
      <c r="BM156" s="65"/>
      <c r="BN156" s="65"/>
      <c r="BO156" s="65"/>
      <c r="BP156" s="65"/>
      <c r="BQ156" s="65"/>
      <c r="BR156" s="65"/>
      <c r="BS156" s="65"/>
      <c r="BT156" s="498"/>
      <c r="BU156" s="498"/>
      <c r="BV156" s="498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</row>
    <row r="157" spans="1:9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403"/>
      <c r="BC157" s="403"/>
      <c r="BD157" s="61"/>
      <c r="BE157" s="65"/>
      <c r="BF157" s="65"/>
      <c r="BG157" s="65"/>
      <c r="BH157" s="88">
        <f t="shared" ca="1" si="7"/>
        <v>46209</v>
      </c>
      <c r="BI157" s="206" t="str">
        <f t="shared" ca="1" si="8"/>
        <v/>
      </c>
      <c r="BJ157" s="501" t="str">
        <f t="shared" ca="1" si="4"/>
        <v/>
      </c>
      <c r="BK157" s="65"/>
      <c r="BL157" s="65"/>
      <c r="BM157" s="65"/>
      <c r="BN157" s="65"/>
      <c r="BO157" s="65"/>
      <c r="BP157" s="65"/>
      <c r="BQ157" s="65"/>
      <c r="BR157" s="65"/>
      <c r="BS157" s="65"/>
      <c r="BT157" s="498"/>
      <c r="BU157" s="498"/>
      <c r="BV157" s="498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</row>
    <row r="158" spans="1:9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403"/>
      <c r="BC158" s="403"/>
      <c r="BD158" s="61"/>
      <c r="BE158" s="65"/>
      <c r="BF158" s="65"/>
      <c r="BG158" s="65"/>
      <c r="BH158" s="88">
        <f t="shared" ca="1" si="7"/>
        <v>46210</v>
      </c>
      <c r="BI158" s="206">
        <f t="shared" ca="1" si="8"/>
        <v>1</v>
      </c>
      <c r="BJ158" s="501">
        <f t="shared" ca="1" si="4"/>
        <v>46210</v>
      </c>
      <c r="BK158" s="65"/>
      <c r="BL158" s="65"/>
      <c r="BM158" s="65"/>
      <c r="BN158" s="65"/>
      <c r="BO158" s="65"/>
      <c r="BP158" s="65"/>
      <c r="BQ158" s="65"/>
      <c r="BR158" s="65"/>
      <c r="BS158" s="65"/>
      <c r="BT158" s="498"/>
      <c r="BU158" s="498"/>
      <c r="BV158" s="498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</row>
    <row r="159" spans="1:9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403"/>
      <c r="BC159" s="403"/>
      <c r="BD159" s="61"/>
      <c r="BE159" s="65"/>
      <c r="BF159" s="65"/>
      <c r="BG159" s="65"/>
      <c r="BH159" s="88">
        <f t="shared" ca="1" si="7"/>
        <v>46211</v>
      </c>
      <c r="BI159" s="206">
        <f t="shared" ca="1" si="8"/>
        <v>1</v>
      </c>
      <c r="BJ159" s="501">
        <f t="shared" ca="1" si="4"/>
        <v>46211</v>
      </c>
      <c r="BK159" s="65"/>
      <c r="BL159" s="65"/>
      <c r="BM159" s="65"/>
      <c r="BN159" s="65"/>
      <c r="BO159" s="65"/>
      <c r="BP159" s="65"/>
      <c r="BQ159" s="65"/>
      <c r="BR159" s="65"/>
      <c r="BS159" s="65"/>
      <c r="BT159" s="498"/>
      <c r="BU159" s="498"/>
      <c r="BV159" s="498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</row>
    <row r="160" spans="1:9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403"/>
      <c r="BC160" s="403"/>
      <c r="BD160" s="61"/>
      <c r="BE160" s="65"/>
      <c r="BF160" s="65"/>
      <c r="BG160" s="65"/>
      <c r="BH160" s="88">
        <f t="shared" ca="1" si="7"/>
        <v>46212</v>
      </c>
      <c r="BI160" s="206">
        <f t="shared" ca="1" si="8"/>
        <v>1</v>
      </c>
      <c r="BJ160" s="501">
        <f t="shared" ca="1" si="4"/>
        <v>46212</v>
      </c>
      <c r="BK160" s="65"/>
      <c r="BL160" s="65"/>
      <c r="BM160" s="65"/>
      <c r="BN160" s="65"/>
      <c r="BO160" s="65"/>
      <c r="BP160" s="65"/>
      <c r="BQ160" s="65"/>
      <c r="BR160" s="65"/>
      <c r="BS160" s="65"/>
      <c r="BT160" s="498"/>
      <c r="BU160" s="498"/>
      <c r="BV160" s="498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</row>
    <row r="161" spans="1:9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403"/>
      <c r="BC161" s="403"/>
      <c r="BD161" s="61"/>
      <c r="BE161" s="65"/>
      <c r="BF161" s="65"/>
      <c r="BG161" s="65"/>
      <c r="BH161" s="88">
        <f t="shared" ca="1" si="7"/>
        <v>46213</v>
      </c>
      <c r="BI161" s="206">
        <f t="shared" ca="1" si="8"/>
        <v>1</v>
      </c>
      <c r="BJ161" s="501">
        <f t="shared" ca="1" si="4"/>
        <v>46213</v>
      </c>
      <c r="BK161" s="65"/>
      <c r="BL161" s="65"/>
      <c r="BM161" s="65"/>
      <c r="BN161" s="65"/>
      <c r="BO161" s="65"/>
      <c r="BP161" s="65"/>
      <c r="BQ161" s="65"/>
      <c r="BR161" s="65"/>
      <c r="BS161" s="65"/>
      <c r="BT161" s="498"/>
      <c r="BU161" s="498"/>
      <c r="BV161" s="498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</row>
    <row r="162" spans="1:9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403"/>
      <c r="BC162" s="403"/>
      <c r="BD162" s="61"/>
      <c r="BE162" s="65"/>
      <c r="BF162" s="65"/>
      <c r="BG162" s="65"/>
      <c r="BH162" s="88">
        <f t="shared" ca="1" si="7"/>
        <v>46214</v>
      </c>
      <c r="BI162" s="206">
        <f t="shared" ca="1" si="8"/>
        <v>1</v>
      </c>
      <c r="BJ162" s="501">
        <f t="shared" ca="1" si="4"/>
        <v>46214</v>
      </c>
      <c r="BK162" s="65"/>
      <c r="BL162" s="65"/>
      <c r="BM162" s="65"/>
      <c r="BN162" s="65"/>
      <c r="BO162" s="65"/>
      <c r="BP162" s="65"/>
      <c r="BQ162" s="65"/>
      <c r="BR162" s="65"/>
      <c r="BS162" s="65"/>
      <c r="BT162" s="498"/>
      <c r="BU162" s="498"/>
      <c r="BV162" s="498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</row>
    <row r="163" spans="1:9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403"/>
      <c r="BC163" s="403"/>
      <c r="BD163" s="61"/>
      <c r="BE163" s="65"/>
      <c r="BF163" s="65"/>
      <c r="BG163" s="65"/>
      <c r="BH163" s="88">
        <f t="shared" ca="1" si="7"/>
        <v>46215</v>
      </c>
      <c r="BI163" s="206">
        <f t="shared" ca="1" si="8"/>
        <v>1</v>
      </c>
      <c r="BJ163" s="501">
        <f t="shared" ca="1" si="4"/>
        <v>46215</v>
      </c>
      <c r="BK163" s="65"/>
      <c r="BL163" s="65"/>
      <c r="BM163" s="65"/>
      <c r="BN163" s="65"/>
      <c r="BO163" s="65"/>
      <c r="BP163" s="65"/>
      <c r="BQ163" s="65"/>
      <c r="BR163" s="65"/>
      <c r="BS163" s="65"/>
      <c r="BT163" s="498"/>
      <c r="BU163" s="498"/>
      <c r="BV163" s="498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</row>
    <row r="164" spans="1:9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403"/>
      <c r="BC164" s="403"/>
      <c r="BD164" s="61"/>
      <c r="BE164" s="65"/>
      <c r="BF164" s="65"/>
      <c r="BG164" s="65"/>
      <c r="BH164" s="88">
        <f t="shared" ca="1" si="7"/>
        <v>46216</v>
      </c>
      <c r="BI164" s="206" t="str">
        <f t="shared" ca="1" si="8"/>
        <v/>
      </c>
      <c r="BJ164" s="501" t="str">
        <f t="shared" ca="1" si="4"/>
        <v/>
      </c>
      <c r="BK164" s="65"/>
      <c r="BL164" s="65"/>
      <c r="BM164" s="65"/>
      <c r="BN164" s="65"/>
      <c r="BO164" s="65"/>
      <c r="BP164" s="65"/>
      <c r="BQ164" s="65"/>
      <c r="BR164" s="65"/>
      <c r="BS164" s="65"/>
      <c r="BT164" s="498"/>
      <c r="BU164" s="498"/>
      <c r="BV164" s="498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</row>
    <row r="165" spans="1:9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403"/>
      <c r="BC165" s="403"/>
      <c r="BD165" s="61"/>
      <c r="BE165" s="65"/>
      <c r="BF165" s="65"/>
      <c r="BG165" s="65"/>
      <c r="BH165" s="88">
        <f t="shared" ca="1" si="7"/>
        <v>46217</v>
      </c>
      <c r="BI165" s="206">
        <f t="shared" ca="1" si="8"/>
        <v>1</v>
      </c>
      <c r="BJ165" s="501">
        <f t="shared" ca="1" si="4"/>
        <v>46217</v>
      </c>
      <c r="BK165" s="65"/>
      <c r="BL165" s="65"/>
      <c r="BM165" s="65"/>
      <c r="BN165" s="65"/>
      <c r="BO165" s="65"/>
      <c r="BP165" s="65"/>
      <c r="BQ165" s="65"/>
      <c r="BR165" s="65"/>
      <c r="BS165" s="65"/>
      <c r="BT165" s="498"/>
      <c r="BU165" s="498"/>
      <c r="BV165" s="498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</row>
    <row r="166" spans="1:9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403"/>
      <c r="BC166" s="403"/>
      <c r="BD166" s="61"/>
      <c r="BE166" s="65"/>
      <c r="BF166" s="65"/>
      <c r="BG166" s="65"/>
      <c r="BH166" s="88">
        <f t="shared" ca="1" si="7"/>
        <v>46218</v>
      </c>
      <c r="BI166" s="206">
        <f t="shared" ca="1" si="8"/>
        <v>1</v>
      </c>
      <c r="BJ166" s="501">
        <f t="shared" ca="1" si="4"/>
        <v>46218</v>
      </c>
      <c r="BK166" s="65"/>
      <c r="BL166" s="65"/>
      <c r="BM166" s="65"/>
      <c r="BN166" s="65"/>
      <c r="BO166" s="65"/>
      <c r="BP166" s="65"/>
      <c r="BQ166" s="65"/>
      <c r="BR166" s="65"/>
      <c r="BS166" s="65"/>
      <c r="BT166" s="498"/>
      <c r="BU166" s="498"/>
      <c r="BV166" s="498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</row>
    <row r="167" spans="1:9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403"/>
      <c r="BC167" s="403"/>
      <c r="BD167" s="61"/>
      <c r="BE167" s="65"/>
      <c r="BF167" s="65"/>
      <c r="BG167" s="65"/>
      <c r="BH167" s="88">
        <f t="shared" ca="1" si="7"/>
        <v>46219</v>
      </c>
      <c r="BI167" s="206">
        <f t="shared" ca="1" si="8"/>
        <v>1</v>
      </c>
      <c r="BJ167" s="501">
        <f t="shared" ca="1" si="4"/>
        <v>46219</v>
      </c>
      <c r="BK167" s="65"/>
      <c r="BL167" s="65"/>
      <c r="BM167" s="65"/>
      <c r="BN167" s="65"/>
      <c r="BO167" s="65"/>
      <c r="BP167" s="65"/>
      <c r="BQ167" s="65"/>
      <c r="BR167" s="65"/>
      <c r="BS167" s="65"/>
      <c r="BT167" s="498"/>
      <c r="BU167" s="498"/>
      <c r="BV167" s="498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</row>
    <row r="168" spans="1:9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403"/>
      <c r="BC168" s="403"/>
      <c r="BD168" s="61"/>
      <c r="BE168" s="65"/>
      <c r="BF168" s="65"/>
      <c r="BG168" s="65"/>
      <c r="BH168" s="88">
        <f t="shared" ca="1" si="7"/>
        <v>46220</v>
      </c>
      <c r="BI168" s="206">
        <f t="shared" ca="1" si="8"/>
        <v>1</v>
      </c>
      <c r="BJ168" s="501">
        <f t="shared" ca="1" si="4"/>
        <v>46220</v>
      </c>
      <c r="BK168" s="65"/>
      <c r="BL168" s="65"/>
      <c r="BM168" s="65"/>
      <c r="BN168" s="65"/>
      <c r="BO168" s="65"/>
      <c r="BP168" s="65"/>
      <c r="BQ168" s="65"/>
      <c r="BR168" s="65"/>
      <c r="BS168" s="65"/>
      <c r="BT168" s="498"/>
      <c r="BU168" s="498"/>
      <c r="BV168" s="498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</row>
    <row r="169" spans="1:9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403"/>
      <c r="BC169" s="403"/>
      <c r="BD169" s="61"/>
      <c r="BE169" s="65"/>
      <c r="BF169" s="65"/>
      <c r="BG169" s="65"/>
      <c r="BH169" s="88">
        <f t="shared" ca="1" si="7"/>
        <v>46221</v>
      </c>
      <c r="BI169" s="206">
        <f t="shared" ca="1" si="8"/>
        <v>1</v>
      </c>
      <c r="BJ169" s="501">
        <f t="shared" ca="1" si="4"/>
        <v>46221</v>
      </c>
      <c r="BK169" s="65"/>
      <c r="BL169" s="65"/>
      <c r="BM169" s="65"/>
      <c r="BN169" s="65"/>
      <c r="BO169" s="65"/>
      <c r="BP169" s="65"/>
      <c r="BQ169" s="65"/>
      <c r="BR169" s="65"/>
      <c r="BS169" s="65"/>
      <c r="BT169" s="498"/>
      <c r="BU169" s="498"/>
      <c r="BV169" s="498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</row>
    <row r="170" spans="1:9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403"/>
      <c r="BC170" s="403"/>
      <c r="BD170" s="61"/>
      <c r="BE170" s="65"/>
      <c r="BF170" s="65"/>
      <c r="BG170" s="65"/>
      <c r="BH170" s="88">
        <f t="shared" ca="1" si="7"/>
        <v>46222</v>
      </c>
      <c r="BI170" s="206">
        <f t="shared" ca="1" si="8"/>
        <v>1</v>
      </c>
      <c r="BJ170" s="501">
        <f t="shared" ca="1" si="4"/>
        <v>46222</v>
      </c>
      <c r="BK170" s="65"/>
      <c r="BL170" s="65"/>
      <c r="BM170" s="65"/>
      <c r="BN170" s="65"/>
      <c r="BO170" s="65"/>
      <c r="BP170" s="65"/>
      <c r="BQ170" s="65"/>
      <c r="BR170" s="65"/>
      <c r="BS170" s="65"/>
      <c r="BT170" s="498"/>
      <c r="BU170" s="498"/>
      <c r="BV170" s="498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</row>
    <row r="171" spans="1:9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403"/>
      <c r="BC171" s="403"/>
      <c r="BD171" s="61"/>
      <c r="BE171" s="65"/>
      <c r="BF171" s="65"/>
      <c r="BG171" s="65"/>
      <c r="BH171" s="88">
        <f t="shared" ca="1" si="7"/>
        <v>46223</v>
      </c>
      <c r="BI171" s="206" t="str">
        <f t="shared" ca="1" si="8"/>
        <v/>
      </c>
      <c r="BJ171" s="501" t="str">
        <f t="shared" ref="BJ171:BJ206" ca="1" si="9">IF(BI171=1,BH171,"")</f>
        <v/>
      </c>
      <c r="BK171" s="65"/>
      <c r="BL171" s="65"/>
      <c r="BM171" s="65"/>
      <c r="BN171" s="65"/>
      <c r="BO171" s="65"/>
      <c r="BP171" s="65"/>
      <c r="BQ171" s="65"/>
      <c r="BR171" s="65"/>
      <c r="BS171" s="65"/>
      <c r="BT171" s="498"/>
      <c r="BU171" s="498"/>
      <c r="BV171" s="498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</row>
    <row r="172" spans="1:9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403"/>
      <c r="BC172" s="403"/>
      <c r="BD172" s="61"/>
      <c r="BE172" s="65"/>
      <c r="BF172" s="65"/>
      <c r="BG172" s="65"/>
      <c r="BH172" s="88">
        <f t="shared" ref="BH172:BH235" ca="1" si="10">SUM(BH171+1)</f>
        <v>46224</v>
      </c>
      <c r="BI172" s="206">
        <f t="shared" ref="BI172:BI235" ca="1" si="11">IF(TEXT(BH172,"ddddd")="maandag","",1)</f>
        <v>1</v>
      </c>
      <c r="BJ172" s="501">
        <f t="shared" ca="1" si="9"/>
        <v>46224</v>
      </c>
      <c r="BK172" s="65"/>
      <c r="BL172" s="65"/>
      <c r="BM172" s="65"/>
      <c r="BN172" s="65"/>
      <c r="BO172" s="65"/>
      <c r="BP172" s="65"/>
      <c r="BQ172" s="65"/>
      <c r="BR172" s="65"/>
      <c r="BS172" s="65"/>
      <c r="BT172" s="498"/>
      <c r="BU172" s="498"/>
      <c r="BV172" s="498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</row>
    <row r="173" spans="1:96">
      <c r="K173" s="1"/>
      <c r="L173" s="1"/>
      <c r="M173" s="1"/>
      <c r="N173" s="1"/>
      <c r="O173" s="1"/>
      <c r="P173" s="1"/>
      <c r="Q173" s="1"/>
      <c r="R173" s="1"/>
      <c r="S173" s="1"/>
      <c r="T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403"/>
      <c r="BC173" s="403"/>
      <c r="BD173" s="61"/>
      <c r="BE173" s="65"/>
      <c r="BF173" s="65"/>
      <c r="BG173" s="65"/>
      <c r="BH173" s="88">
        <f t="shared" ca="1" si="10"/>
        <v>46225</v>
      </c>
      <c r="BI173" s="206">
        <f t="shared" ca="1" si="11"/>
        <v>1</v>
      </c>
      <c r="BJ173" s="501">
        <f t="shared" ca="1" si="9"/>
        <v>46225</v>
      </c>
      <c r="BK173" s="65"/>
      <c r="BL173" s="65"/>
      <c r="BM173" s="65"/>
      <c r="BN173" s="65"/>
      <c r="BO173" s="65"/>
      <c r="BP173" s="65"/>
      <c r="BQ173" s="65"/>
      <c r="BR173" s="65"/>
      <c r="BS173" s="65"/>
      <c r="BT173" s="498"/>
      <c r="BU173" s="498"/>
      <c r="BV173" s="498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</row>
    <row r="174" spans="1:96"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403"/>
      <c r="BC174" s="403"/>
      <c r="BD174" s="61"/>
      <c r="BE174" s="65"/>
      <c r="BF174" s="65"/>
      <c r="BG174" s="65"/>
      <c r="BH174" s="88">
        <f t="shared" ca="1" si="10"/>
        <v>46226</v>
      </c>
      <c r="BI174" s="206">
        <f t="shared" ca="1" si="11"/>
        <v>1</v>
      </c>
      <c r="BJ174" s="501">
        <f t="shared" ca="1" si="9"/>
        <v>46226</v>
      </c>
      <c r="BK174" s="65"/>
      <c r="BL174" s="65"/>
      <c r="BM174" s="65"/>
      <c r="BN174" s="65"/>
      <c r="BO174" s="65"/>
      <c r="BP174" s="65"/>
      <c r="BQ174" s="65"/>
      <c r="BR174" s="65"/>
      <c r="BS174" s="65"/>
      <c r="BT174" s="498"/>
      <c r="BU174" s="498"/>
      <c r="BV174" s="498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</row>
    <row r="175" spans="1:96"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403"/>
      <c r="BC175" s="403"/>
      <c r="BD175" s="61"/>
      <c r="BE175" s="65"/>
      <c r="BF175" s="65"/>
      <c r="BG175" s="65"/>
      <c r="BH175" s="88">
        <f t="shared" ca="1" si="10"/>
        <v>46227</v>
      </c>
      <c r="BI175" s="206">
        <f t="shared" ca="1" si="11"/>
        <v>1</v>
      </c>
      <c r="BJ175" s="501">
        <f t="shared" ca="1" si="9"/>
        <v>46227</v>
      </c>
      <c r="BK175" s="65"/>
      <c r="BL175" s="65"/>
      <c r="BM175" s="65"/>
      <c r="BN175" s="65"/>
      <c r="BO175" s="65"/>
      <c r="BP175" s="65"/>
      <c r="BQ175" s="65"/>
      <c r="BR175" s="65"/>
      <c r="BS175" s="65"/>
      <c r="BT175" s="498"/>
      <c r="BU175" s="498"/>
      <c r="BV175" s="498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</row>
    <row r="176" spans="1:96"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403"/>
      <c r="BC176" s="403"/>
      <c r="BD176" s="61"/>
      <c r="BE176" s="65"/>
      <c r="BF176" s="65"/>
      <c r="BG176" s="65"/>
      <c r="BH176" s="88">
        <f t="shared" ca="1" si="10"/>
        <v>46228</v>
      </c>
      <c r="BI176" s="206">
        <f t="shared" ca="1" si="11"/>
        <v>1</v>
      </c>
      <c r="BJ176" s="501">
        <f t="shared" ca="1" si="9"/>
        <v>46228</v>
      </c>
      <c r="BK176" s="65"/>
      <c r="BL176" s="65"/>
      <c r="BM176" s="65"/>
      <c r="BN176" s="65"/>
      <c r="BO176" s="65"/>
      <c r="BP176" s="65"/>
      <c r="BQ176" s="65"/>
      <c r="BR176" s="65"/>
      <c r="BS176" s="65"/>
      <c r="BT176" s="498"/>
      <c r="BU176" s="498"/>
      <c r="BV176" s="498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</row>
    <row r="177" spans="32:96"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403"/>
      <c r="BC177" s="403"/>
      <c r="BD177" s="61"/>
      <c r="BE177" s="65"/>
      <c r="BF177" s="65"/>
      <c r="BG177" s="65"/>
      <c r="BH177" s="88">
        <f t="shared" ca="1" si="10"/>
        <v>46229</v>
      </c>
      <c r="BI177" s="206">
        <f t="shared" ca="1" si="11"/>
        <v>1</v>
      </c>
      <c r="BJ177" s="501">
        <f t="shared" ca="1" si="9"/>
        <v>46229</v>
      </c>
      <c r="BK177" s="65"/>
      <c r="BL177" s="65"/>
      <c r="BM177" s="65"/>
      <c r="BN177" s="65"/>
      <c r="BO177" s="65"/>
      <c r="BP177" s="65"/>
      <c r="BQ177" s="65"/>
      <c r="BR177" s="65"/>
      <c r="BS177" s="65"/>
      <c r="BT177" s="498"/>
      <c r="BU177" s="498"/>
      <c r="BV177" s="498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</row>
    <row r="178" spans="32:96"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403"/>
      <c r="BC178" s="403"/>
      <c r="BD178" s="61"/>
      <c r="BE178" s="65"/>
      <c r="BF178" s="65"/>
      <c r="BG178" s="65"/>
      <c r="BH178" s="88">
        <f t="shared" ca="1" si="10"/>
        <v>46230</v>
      </c>
      <c r="BI178" s="206" t="str">
        <f t="shared" ca="1" si="11"/>
        <v/>
      </c>
      <c r="BJ178" s="501" t="str">
        <f t="shared" ca="1" si="9"/>
        <v/>
      </c>
      <c r="BK178" s="65"/>
      <c r="BL178" s="65"/>
      <c r="BM178" s="65"/>
      <c r="BN178" s="65"/>
      <c r="BO178" s="65"/>
      <c r="BP178" s="65"/>
      <c r="BQ178" s="65"/>
      <c r="BR178" s="65"/>
      <c r="BS178" s="65"/>
      <c r="BT178" s="498"/>
      <c r="BU178" s="498"/>
      <c r="BV178" s="498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</row>
    <row r="179" spans="32:96"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403"/>
      <c r="BC179" s="403"/>
      <c r="BD179" s="61"/>
      <c r="BE179" s="65"/>
      <c r="BF179" s="65"/>
      <c r="BG179" s="65"/>
      <c r="BH179" s="88">
        <f t="shared" ca="1" si="10"/>
        <v>46231</v>
      </c>
      <c r="BI179" s="206">
        <f t="shared" ca="1" si="11"/>
        <v>1</v>
      </c>
      <c r="BJ179" s="501">
        <f t="shared" ca="1" si="9"/>
        <v>46231</v>
      </c>
      <c r="BK179" s="65"/>
      <c r="BL179" s="65"/>
      <c r="BM179" s="65"/>
      <c r="BN179" s="65"/>
      <c r="BO179" s="65"/>
      <c r="BP179" s="65"/>
      <c r="BQ179" s="65"/>
      <c r="BR179" s="65"/>
      <c r="BS179" s="65"/>
      <c r="BT179" s="498"/>
      <c r="BU179" s="498"/>
      <c r="BV179" s="498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</row>
    <row r="180" spans="32:96"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403"/>
      <c r="BC180" s="403"/>
      <c r="BD180" s="61"/>
      <c r="BE180" s="65"/>
      <c r="BF180" s="65"/>
      <c r="BG180" s="65"/>
      <c r="BH180" s="88">
        <f t="shared" ca="1" si="10"/>
        <v>46232</v>
      </c>
      <c r="BI180" s="206">
        <f t="shared" ca="1" si="11"/>
        <v>1</v>
      </c>
      <c r="BJ180" s="501">
        <f t="shared" ca="1" si="9"/>
        <v>46232</v>
      </c>
      <c r="BK180" s="65"/>
      <c r="BL180" s="65"/>
      <c r="BM180" s="65"/>
      <c r="BN180" s="65"/>
      <c r="BO180" s="65"/>
      <c r="BP180" s="65"/>
      <c r="BQ180" s="65"/>
      <c r="BR180" s="65"/>
      <c r="BS180" s="65"/>
      <c r="BT180" s="498"/>
      <c r="BU180" s="498"/>
      <c r="BV180" s="498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</row>
    <row r="181" spans="32:96">
      <c r="BB181" s="407"/>
      <c r="BC181" s="407"/>
      <c r="BD181" s="409"/>
      <c r="BE181" s="91"/>
      <c r="BF181" s="91"/>
      <c r="BG181" s="91"/>
      <c r="BH181" s="88">
        <f t="shared" ca="1" si="10"/>
        <v>46233</v>
      </c>
      <c r="BI181" s="206">
        <f t="shared" ca="1" si="11"/>
        <v>1</v>
      </c>
      <c r="BJ181" s="501">
        <f t="shared" ca="1" si="9"/>
        <v>46233</v>
      </c>
      <c r="BK181" s="91"/>
      <c r="BL181" s="91"/>
      <c r="BM181" s="91"/>
      <c r="BN181" s="91"/>
      <c r="BO181" s="65"/>
      <c r="BP181" s="65"/>
      <c r="BQ181" s="65"/>
      <c r="BR181" s="65"/>
      <c r="BS181" s="65"/>
      <c r="BT181" s="498"/>
      <c r="BU181" s="498"/>
      <c r="BV181" s="498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</row>
    <row r="182" spans="32:96">
      <c r="BB182" s="407"/>
      <c r="BC182" s="407"/>
      <c r="BD182" s="409"/>
      <c r="BE182" s="91"/>
      <c r="BF182" s="91"/>
      <c r="BG182" s="91"/>
      <c r="BH182" s="88">
        <f t="shared" ca="1" si="10"/>
        <v>46234</v>
      </c>
      <c r="BI182" s="206">
        <f t="shared" ca="1" si="11"/>
        <v>1</v>
      </c>
      <c r="BJ182" s="501">
        <f t="shared" ca="1" si="9"/>
        <v>46234</v>
      </c>
      <c r="BK182" s="91"/>
      <c r="BL182" s="91"/>
      <c r="BM182" s="91"/>
      <c r="BN182" s="91"/>
      <c r="BO182" s="91"/>
      <c r="BP182" s="91"/>
      <c r="BQ182" s="91"/>
      <c r="BR182" s="91"/>
      <c r="BS182" s="91"/>
      <c r="BT182" s="499"/>
      <c r="BU182" s="499"/>
      <c r="BV182" s="499"/>
    </row>
    <row r="183" spans="32:96">
      <c r="BB183" s="407"/>
      <c r="BC183" s="407"/>
      <c r="BD183" s="409"/>
      <c r="BE183" s="91"/>
      <c r="BF183" s="91"/>
      <c r="BG183" s="91"/>
      <c r="BH183" s="88">
        <f t="shared" ca="1" si="10"/>
        <v>46235</v>
      </c>
      <c r="BI183" s="206">
        <f t="shared" ca="1" si="11"/>
        <v>1</v>
      </c>
      <c r="BJ183" s="501">
        <f t="shared" ca="1" si="9"/>
        <v>46235</v>
      </c>
      <c r="BK183" s="91"/>
      <c r="BL183" s="91"/>
      <c r="BM183" s="91"/>
      <c r="BN183" s="91"/>
      <c r="BO183" s="91"/>
      <c r="BP183" s="91"/>
      <c r="BQ183" s="91"/>
      <c r="BR183" s="91"/>
      <c r="BS183" s="91"/>
      <c r="BT183" s="499"/>
      <c r="BU183" s="499"/>
      <c r="BV183" s="499"/>
    </row>
    <row r="184" spans="32:96">
      <c r="BB184" s="407"/>
      <c r="BC184" s="407"/>
      <c r="BD184" s="409"/>
      <c r="BE184" s="91"/>
      <c r="BF184" s="91"/>
      <c r="BG184" s="91"/>
      <c r="BH184" s="88">
        <f t="shared" ca="1" si="10"/>
        <v>46236</v>
      </c>
      <c r="BI184" s="206">
        <f t="shared" ca="1" si="11"/>
        <v>1</v>
      </c>
      <c r="BJ184" s="501">
        <f t="shared" ca="1" si="9"/>
        <v>46236</v>
      </c>
      <c r="BK184" s="91"/>
      <c r="BL184" s="91"/>
      <c r="BM184" s="91"/>
      <c r="BN184" s="91"/>
      <c r="BO184" s="91"/>
      <c r="BP184" s="91"/>
      <c r="BQ184" s="91"/>
      <c r="BR184" s="91"/>
      <c r="BS184" s="91"/>
      <c r="BT184" s="499"/>
      <c r="BU184" s="499"/>
      <c r="BV184" s="499"/>
    </row>
    <row r="185" spans="32:96">
      <c r="BB185" s="407"/>
      <c r="BC185" s="407"/>
      <c r="BD185" s="409"/>
      <c r="BE185" s="91"/>
      <c r="BF185" s="91"/>
      <c r="BG185" s="91"/>
      <c r="BH185" s="88">
        <f t="shared" ca="1" si="10"/>
        <v>46237</v>
      </c>
      <c r="BI185" s="206" t="str">
        <f t="shared" ca="1" si="11"/>
        <v/>
      </c>
      <c r="BJ185" s="501" t="str">
        <f t="shared" ca="1" si="9"/>
        <v/>
      </c>
      <c r="BK185" s="91"/>
      <c r="BL185" s="91"/>
      <c r="BM185" s="91"/>
      <c r="BN185" s="91"/>
      <c r="BO185" s="91"/>
      <c r="BP185" s="91"/>
      <c r="BQ185" s="91"/>
      <c r="BR185" s="91"/>
      <c r="BS185" s="91"/>
      <c r="BT185" s="499"/>
      <c r="BU185" s="499"/>
      <c r="BV185" s="499"/>
    </row>
    <row r="186" spans="32:96">
      <c r="BB186" s="407"/>
      <c r="BC186" s="407"/>
      <c r="BD186" s="409"/>
      <c r="BE186" s="91"/>
      <c r="BF186" s="91"/>
      <c r="BG186" s="91"/>
      <c r="BH186" s="88">
        <f t="shared" ca="1" si="10"/>
        <v>46238</v>
      </c>
      <c r="BI186" s="206">
        <f t="shared" ca="1" si="11"/>
        <v>1</v>
      </c>
      <c r="BJ186" s="501">
        <f t="shared" ca="1" si="9"/>
        <v>46238</v>
      </c>
      <c r="BK186" s="91"/>
      <c r="BL186" s="91"/>
      <c r="BM186" s="91"/>
      <c r="BN186" s="91"/>
      <c r="BO186" s="91"/>
      <c r="BP186" s="91"/>
      <c r="BQ186" s="91"/>
      <c r="BR186" s="91"/>
      <c r="BS186" s="91"/>
      <c r="BT186" s="499"/>
      <c r="BU186" s="499"/>
      <c r="BV186" s="499"/>
    </row>
    <row r="187" spans="32:96">
      <c r="BB187" s="407"/>
      <c r="BC187" s="407"/>
      <c r="BD187" s="409"/>
      <c r="BE187" s="91"/>
      <c r="BF187" s="91"/>
      <c r="BG187" s="91"/>
      <c r="BH187" s="88">
        <f t="shared" ca="1" si="10"/>
        <v>46239</v>
      </c>
      <c r="BI187" s="206">
        <f t="shared" ca="1" si="11"/>
        <v>1</v>
      </c>
      <c r="BJ187" s="501">
        <f t="shared" ca="1" si="9"/>
        <v>46239</v>
      </c>
      <c r="BK187" s="91"/>
      <c r="BL187" s="91"/>
      <c r="BM187" s="91"/>
      <c r="BN187" s="91"/>
      <c r="BO187" s="91"/>
      <c r="BP187" s="91"/>
      <c r="BQ187" s="91"/>
      <c r="BR187" s="91"/>
      <c r="BS187" s="91"/>
      <c r="BT187" s="499"/>
      <c r="BU187" s="499"/>
      <c r="BV187" s="499"/>
    </row>
    <row r="188" spans="32:96">
      <c r="BB188" s="407"/>
      <c r="BC188" s="407"/>
      <c r="BD188" s="409"/>
      <c r="BE188" s="91"/>
      <c r="BF188" s="91"/>
      <c r="BG188" s="91"/>
      <c r="BH188" s="88">
        <f t="shared" ca="1" si="10"/>
        <v>46240</v>
      </c>
      <c r="BI188" s="206">
        <f t="shared" ca="1" si="11"/>
        <v>1</v>
      </c>
      <c r="BJ188" s="501">
        <f t="shared" ca="1" si="9"/>
        <v>46240</v>
      </c>
      <c r="BK188" s="91"/>
      <c r="BL188" s="91"/>
      <c r="BM188" s="91"/>
      <c r="BN188" s="91"/>
      <c r="BO188" s="91"/>
      <c r="BP188" s="91"/>
      <c r="BQ188" s="91"/>
      <c r="BR188" s="91"/>
      <c r="BS188" s="91"/>
      <c r="BT188" s="499"/>
      <c r="BU188" s="499"/>
      <c r="BV188" s="499"/>
    </row>
    <row r="189" spans="32:96">
      <c r="BB189" s="407"/>
      <c r="BC189" s="407"/>
      <c r="BD189" s="409"/>
      <c r="BE189" s="91"/>
      <c r="BF189" s="91"/>
      <c r="BG189" s="91"/>
      <c r="BH189" s="88">
        <f t="shared" ca="1" si="10"/>
        <v>46241</v>
      </c>
      <c r="BI189" s="206">
        <f t="shared" ca="1" si="11"/>
        <v>1</v>
      </c>
      <c r="BJ189" s="501">
        <f t="shared" ca="1" si="9"/>
        <v>46241</v>
      </c>
      <c r="BK189" s="91"/>
      <c r="BL189" s="91"/>
      <c r="BM189" s="91"/>
      <c r="BN189" s="91"/>
      <c r="BO189" s="91"/>
      <c r="BP189" s="91"/>
      <c r="BQ189" s="91"/>
      <c r="BR189" s="91"/>
      <c r="BS189" s="91"/>
      <c r="BT189" s="499"/>
      <c r="BU189" s="499"/>
      <c r="BV189" s="499"/>
    </row>
    <row r="190" spans="32:96">
      <c r="BB190" s="407"/>
      <c r="BC190" s="407"/>
      <c r="BD190" s="409"/>
      <c r="BE190" s="91"/>
      <c r="BF190" s="91"/>
      <c r="BG190" s="91"/>
      <c r="BH190" s="88">
        <f t="shared" ca="1" si="10"/>
        <v>46242</v>
      </c>
      <c r="BI190" s="206">
        <f t="shared" ca="1" si="11"/>
        <v>1</v>
      </c>
      <c r="BJ190" s="501">
        <f t="shared" ca="1" si="9"/>
        <v>46242</v>
      </c>
      <c r="BK190" s="91"/>
      <c r="BL190" s="91"/>
      <c r="BM190" s="91"/>
      <c r="BN190" s="91"/>
      <c r="BO190" s="91"/>
      <c r="BP190" s="91"/>
      <c r="BQ190" s="91"/>
      <c r="BR190" s="91"/>
      <c r="BS190" s="91"/>
      <c r="BT190" s="499"/>
      <c r="BU190" s="499"/>
      <c r="BV190" s="499"/>
    </row>
    <row r="191" spans="32:96">
      <c r="BB191" s="407"/>
      <c r="BC191" s="407"/>
      <c r="BD191" s="409"/>
      <c r="BE191" s="91"/>
      <c r="BF191" s="91"/>
      <c r="BG191" s="91"/>
      <c r="BH191" s="88">
        <f t="shared" ca="1" si="10"/>
        <v>46243</v>
      </c>
      <c r="BI191" s="206">
        <f t="shared" ca="1" si="11"/>
        <v>1</v>
      </c>
      <c r="BJ191" s="501">
        <f t="shared" ca="1" si="9"/>
        <v>46243</v>
      </c>
      <c r="BK191" s="91"/>
      <c r="BL191" s="91"/>
      <c r="BM191" s="91"/>
      <c r="BN191" s="91"/>
      <c r="BO191" s="91"/>
      <c r="BP191" s="91"/>
      <c r="BQ191" s="91"/>
      <c r="BR191" s="91"/>
      <c r="BS191" s="91"/>
      <c r="BT191" s="499"/>
      <c r="BU191" s="499"/>
      <c r="BV191" s="499"/>
    </row>
    <row r="192" spans="32:96">
      <c r="BB192" s="407"/>
      <c r="BC192" s="407"/>
      <c r="BD192" s="409"/>
      <c r="BE192" s="91"/>
      <c r="BF192" s="91"/>
      <c r="BG192" s="91"/>
      <c r="BH192" s="88">
        <f t="shared" ca="1" si="10"/>
        <v>46244</v>
      </c>
      <c r="BI192" s="206" t="str">
        <f t="shared" ca="1" si="11"/>
        <v/>
      </c>
      <c r="BJ192" s="501" t="str">
        <f t="shared" ca="1" si="9"/>
        <v/>
      </c>
      <c r="BK192" s="91"/>
      <c r="BL192" s="91"/>
      <c r="BM192" s="91"/>
      <c r="BN192" s="91"/>
      <c r="BO192" s="91"/>
      <c r="BP192" s="91"/>
      <c r="BQ192" s="91"/>
      <c r="BR192" s="91"/>
      <c r="BS192" s="91"/>
      <c r="BT192" s="499"/>
      <c r="BU192" s="499"/>
      <c r="BV192" s="499"/>
    </row>
    <row r="193" spans="54:74">
      <c r="BB193" s="407"/>
      <c r="BC193" s="407"/>
      <c r="BD193" s="409"/>
      <c r="BE193" s="91"/>
      <c r="BF193" s="91"/>
      <c r="BG193" s="91"/>
      <c r="BH193" s="88">
        <f t="shared" ca="1" si="10"/>
        <v>46245</v>
      </c>
      <c r="BI193" s="206">
        <f t="shared" ca="1" si="11"/>
        <v>1</v>
      </c>
      <c r="BJ193" s="501">
        <f t="shared" ca="1" si="9"/>
        <v>46245</v>
      </c>
      <c r="BK193" s="91"/>
      <c r="BL193" s="91"/>
      <c r="BM193" s="91"/>
      <c r="BN193" s="91"/>
      <c r="BO193" s="91"/>
      <c r="BP193" s="91"/>
      <c r="BQ193" s="91"/>
      <c r="BR193" s="91"/>
      <c r="BS193" s="91"/>
      <c r="BT193" s="499"/>
      <c r="BU193" s="499"/>
      <c r="BV193" s="499"/>
    </row>
    <row r="194" spans="54:74">
      <c r="BB194" s="407"/>
      <c r="BC194" s="407"/>
      <c r="BD194" s="409"/>
      <c r="BE194" s="91"/>
      <c r="BF194" s="91"/>
      <c r="BG194" s="91"/>
      <c r="BH194" s="88">
        <f t="shared" ca="1" si="10"/>
        <v>46246</v>
      </c>
      <c r="BI194" s="206">
        <f t="shared" ca="1" si="11"/>
        <v>1</v>
      </c>
      <c r="BJ194" s="501">
        <f t="shared" ca="1" si="9"/>
        <v>46246</v>
      </c>
      <c r="BK194" s="91"/>
      <c r="BL194" s="91"/>
      <c r="BM194" s="91"/>
      <c r="BN194" s="91"/>
      <c r="BO194" s="91"/>
      <c r="BP194" s="91"/>
      <c r="BQ194" s="91"/>
      <c r="BR194" s="91"/>
      <c r="BS194" s="91"/>
      <c r="BT194" s="499"/>
      <c r="BU194" s="499"/>
      <c r="BV194" s="499"/>
    </row>
    <row r="195" spans="54:74">
      <c r="BB195" s="407"/>
      <c r="BC195" s="407"/>
      <c r="BD195" s="409"/>
      <c r="BE195" s="91"/>
      <c r="BF195" s="91"/>
      <c r="BG195" s="91"/>
      <c r="BH195" s="88">
        <f t="shared" ca="1" si="10"/>
        <v>46247</v>
      </c>
      <c r="BI195" s="206">
        <f t="shared" ca="1" si="11"/>
        <v>1</v>
      </c>
      <c r="BJ195" s="501">
        <f t="shared" ca="1" si="9"/>
        <v>46247</v>
      </c>
      <c r="BK195" s="91"/>
      <c r="BL195" s="91"/>
      <c r="BM195" s="91"/>
      <c r="BN195" s="91"/>
      <c r="BO195" s="91"/>
      <c r="BP195" s="91"/>
      <c r="BQ195" s="91"/>
      <c r="BR195" s="91"/>
      <c r="BS195" s="91"/>
      <c r="BT195" s="499"/>
      <c r="BU195" s="499"/>
      <c r="BV195" s="499"/>
    </row>
    <row r="196" spans="54:74">
      <c r="BB196" s="407"/>
      <c r="BC196" s="407"/>
      <c r="BD196" s="409"/>
      <c r="BE196" s="91"/>
      <c r="BF196" s="91"/>
      <c r="BG196" s="91"/>
      <c r="BH196" s="88">
        <f t="shared" ca="1" si="10"/>
        <v>46248</v>
      </c>
      <c r="BI196" s="206">
        <f t="shared" ca="1" si="11"/>
        <v>1</v>
      </c>
      <c r="BJ196" s="501">
        <f t="shared" ca="1" si="9"/>
        <v>46248</v>
      </c>
      <c r="BK196" s="91"/>
      <c r="BL196" s="91"/>
      <c r="BM196" s="91"/>
      <c r="BN196" s="91"/>
      <c r="BO196" s="91"/>
      <c r="BP196" s="91"/>
      <c r="BQ196" s="91"/>
      <c r="BR196" s="91"/>
      <c r="BS196" s="91"/>
      <c r="BT196" s="499"/>
      <c r="BU196" s="499"/>
      <c r="BV196" s="499"/>
    </row>
    <row r="197" spans="54:74">
      <c r="BB197" s="407"/>
      <c r="BC197" s="407"/>
      <c r="BD197" s="409"/>
      <c r="BE197" s="91"/>
      <c r="BF197" s="91"/>
      <c r="BG197" s="91"/>
      <c r="BH197" s="88">
        <f t="shared" ca="1" si="10"/>
        <v>46249</v>
      </c>
      <c r="BI197" s="206">
        <f t="shared" ca="1" si="11"/>
        <v>1</v>
      </c>
      <c r="BJ197" s="501">
        <f t="shared" ca="1" si="9"/>
        <v>46249</v>
      </c>
      <c r="BK197" s="91"/>
      <c r="BL197" s="91"/>
      <c r="BM197" s="91"/>
      <c r="BN197" s="91"/>
      <c r="BO197" s="91"/>
      <c r="BP197" s="91"/>
      <c r="BQ197" s="91"/>
      <c r="BR197" s="91"/>
      <c r="BS197" s="91"/>
      <c r="BT197" s="499"/>
      <c r="BU197" s="499"/>
      <c r="BV197" s="499"/>
    </row>
    <row r="198" spans="54:74">
      <c r="BB198" s="407"/>
      <c r="BC198" s="407"/>
      <c r="BD198" s="409"/>
      <c r="BE198" s="91"/>
      <c r="BF198" s="91"/>
      <c r="BG198" s="91"/>
      <c r="BH198" s="88">
        <f t="shared" ca="1" si="10"/>
        <v>46250</v>
      </c>
      <c r="BI198" s="206">
        <f t="shared" ca="1" si="11"/>
        <v>1</v>
      </c>
      <c r="BJ198" s="501">
        <f t="shared" ca="1" si="9"/>
        <v>46250</v>
      </c>
      <c r="BK198" s="91"/>
      <c r="BL198" s="91"/>
      <c r="BM198" s="91"/>
      <c r="BN198" s="91"/>
      <c r="BO198" s="91"/>
      <c r="BP198" s="91"/>
      <c r="BQ198" s="91"/>
      <c r="BR198" s="91"/>
      <c r="BS198" s="91"/>
      <c r="BT198" s="499"/>
      <c r="BU198" s="499"/>
      <c r="BV198" s="499"/>
    </row>
    <row r="199" spans="54:74">
      <c r="BB199" s="407"/>
      <c r="BC199" s="407"/>
      <c r="BD199" s="409"/>
      <c r="BE199" s="91"/>
      <c r="BF199" s="91"/>
      <c r="BG199" s="91"/>
      <c r="BH199" s="88">
        <f t="shared" ca="1" si="10"/>
        <v>46251</v>
      </c>
      <c r="BI199" s="206" t="str">
        <f t="shared" ca="1" si="11"/>
        <v/>
      </c>
      <c r="BJ199" s="501" t="str">
        <f t="shared" ca="1" si="9"/>
        <v/>
      </c>
      <c r="BK199" s="91"/>
      <c r="BL199" s="91"/>
      <c r="BM199" s="91"/>
      <c r="BN199" s="91"/>
      <c r="BO199" s="91"/>
      <c r="BP199" s="91"/>
      <c r="BQ199" s="91"/>
      <c r="BR199" s="91"/>
      <c r="BS199" s="91"/>
      <c r="BT199" s="499"/>
      <c r="BU199" s="499"/>
      <c r="BV199" s="499"/>
    </row>
    <row r="200" spans="54:74">
      <c r="BB200" s="407"/>
      <c r="BC200" s="407"/>
      <c r="BD200" s="409"/>
      <c r="BE200" s="91"/>
      <c r="BF200" s="91"/>
      <c r="BG200" s="91"/>
      <c r="BH200" s="88">
        <f t="shared" ca="1" si="10"/>
        <v>46252</v>
      </c>
      <c r="BI200" s="206">
        <f t="shared" ca="1" si="11"/>
        <v>1</v>
      </c>
      <c r="BJ200" s="501">
        <f t="shared" ca="1" si="9"/>
        <v>46252</v>
      </c>
      <c r="BK200" s="91"/>
      <c r="BL200" s="91"/>
      <c r="BM200" s="91"/>
      <c r="BN200" s="91"/>
      <c r="BO200" s="91"/>
      <c r="BP200" s="91"/>
      <c r="BQ200" s="91"/>
      <c r="BR200" s="91"/>
      <c r="BS200" s="91"/>
      <c r="BT200" s="499"/>
      <c r="BU200" s="499"/>
      <c r="BV200" s="499"/>
    </row>
    <row r="201" spans="54:74">
      <c r="BB201" s="407"/>
      <c r="BC201" s="407"/>
      <c r="BD201" s="409"/>
      <c r="BE201" s="91"/>
      <c r="BF201" s="91"/>
      <c r="BG201" s="91"/>
      <c r="BH201" s="88">
        <f t="shared" ca="1" si="10"/>
        <v>46253</v>
      </c>
      <c r="BI201" s="206">
        <f t="shared" ca="1" si="11"/>
        <v>1</v>
      </c>
      <c r="BJ201" s="501">
        <f t="shared" ca="1" si="9"/>
        <v>46253</v>
      </c>
      <c r="BK201" s="91"/>
      <c r="BL201" s="91"/>
      <c r="BM201" s="91"/>
      <c r="BN201" s="91"/>
      <c r="BO201" s="91"/>
      <c r="BP201" s="91"/>
      <c r="BQ201" s="91"/>
      <c r="BR201" s="91"/>
      <c r="BS201" s="91"/>
      <c r="BT201" s="499"/>
      <c r="BU201" s="499"/>
      <c r="BV201" s="499"/>
    </row>
    <row r="202" spans="54:74">
      <c r="BB202" s="407"/>
      <c r="BC202" s="407"/>
      <c r="BD202" s="409"/>
      <c r="BE202" s="91"/>
      <c r="BF202" s="91"/>
      <c r="BG202" s="91"/>
      <c r="BH202" s="88">
        <f t="shared" ca="1" si="10"/>
        <v>46254</v>
      </c>
      <c r="BI202" s="206">
        <f t="shared" ca="1" si="11"/>
        <v>1</v>
      </c>
      <c r="BJ202" s="501">
        <f t="shared" ca="1" si="9"/>
        <v>46254</v>
      </c>
      <c r="BK202" s="91"/>
      <c r="BL202" s="91"/>
      <c r="BM202" s="91"/>
      <c r="BN202" s="91"/>
      <c r="BO202" s="91"/>
      <c r="BP202" s="91"/>
      <c r="BQ202" s="91"/>
      <c r="BR202" s="91"/>
      <c r="BS202" s="91"/>
      <c r="BT202" s="499"/>
      <c r="BU202" s="499"/>
      <c r="BV202" s="499"/>
    </row>
    <row r="203" spans="54:74">
      <c r="BB203" s="407"/>
      <c r="BC203" s="407"/>
      <c r="BD203" s="409"/>
      <c r="BE203" s="91"/>
      <c r="BF203" s="91"/>
      <c r="BG203" s="91"/>
      <c r="BH203" s="88">
        <f t="shared" ca="1" si="10"/>
        <v>46255</v>
      </c>
      <c r="BI203" s="206">
        <f t="shared" ca="1" si="11"/>
        <v>1</v>
      </c>
      <c r="BJ203" s="501">
        <f t="shared" ca="1" si="9"/>
        <v>46255</v>
      </c>
      <c r="BK203" s="91"/>
      <c r="BL203" s="91"/>
      <c r="BM203" s="91"/>
      <c r="BN203" s="91"/>
      <c r="BO203" s="91"/>
      <c r="BP203" s="91"/>
      <c r="BQ203" s="91"/>
      <c r="BR203" s="91"/>
      <c r="BS203" s="91"/>
      <c r="BT203" s="499"/>
      <c r="BU203" s="499"/>
      <c r="BV203" s="499"/>
    </row>
    <row r="204" spans="54:74">
      <c r="BB204" s="407"/>
      <c r="BC204" s="407"/>
      <c r="BD204" s="409"/>
      <c r="BE204" s="91"/>
      <c r="BF204" s="91"/>
      <c r="BG204" s="91"/>
      <c r="BH204" s="88">
        <f t="shared" ca="1" si="10"/>
        <v>46256</v>
      </c>
      <c r="BI204" s="206">
        <f t="shared" ca="1" si="11"/>
        <v>1</v>
      </c>
      <c r="BJ204" s="501">
        <f t="shared" ca="1" si="9"/>
        <v>46256</v>
      </c>
      <c r="BK204" s="91"/>
      <c r="BL204" s="91"/>
      <c r="BM204" s="91"/>
      <c r="BN204" s="91"/>
      <c r="BO204" s="91"/>
      <c r="BP204" s="91"/>
      <c r="BQ204" s="91"/>
      <c r="BR204" s="91"/>
      <c r="BS204" s="91"/>
      <c r="BT204" s="499"/>
      <c r="BU204" s="499"/>
      <c r="BV204" s="499"/>
    </row>
    <row r="205" spans="54:74">
      <c r="BB205" s="407"/>
      <c r="BC205" s="407"/>
      <c r="BD205" s="409"/>
      <c r="BE205" s="91"/>
      <c r="BF205" s="91"/>
      <c r="BG205" s="91"/>
      <c r="BH205" s="88">
        <f t="shared" ca="1" si="10"/>
        <v>46257</v>
      </c>
      <c r="BI205" s="206">
        <f t="shared" ca="1" si="11"/>
        <v>1</v>
      </c>
      <c r="BJ205" s="501">
        <f t="shared" ca="1" si="9"/>
        <v>46257</v>
      </c>
      <c r="BK205" s="91"/>
      <c r="BL205" s="91"/>
      <c r="BM205" s="91"/>
      <c r="BN205" s="91"/>
      <c r="BO205" s="91"/>
      <c r="BP205" s="91"/>
      <c r="BQ205" s="91"/>
      <c r="BR205" s="91"/>
      <c r="BS205" s="91"/>
      <c r="BT205" s="499"/>
      <c r="BU205" s="499"/>
      <c r="BV205" s="499"/>
    </row>
    <row r="206" spans="54:74">
      <c r="BB206" s="407"/>
      <c r="BC206" s="407"/>
      <c r="BD206" s="409"/>
      <c r="BE206" s="91"/>
      <c r="BF206" s="91"/>
      <c r="BG206" s="91"/>
      <c r="BH206" s="88">
        <f t="shared" ca="1" si="10"/>
        <v>46258</v>
      </c>
      <c r="BI206" s="206" t="str">
        <f t="shared" ca="1" si="11"/>
        <v/>
      </c>
      <c r="BJ206" s="501" t="str">
        <f t="shared" ca="1" si="9"/>
        <v/>
      </c>
      <c r="BK206" s="91"/>
      <c r="BL206" s="91"/>
      <c r="BM206" s="91"/>
      <c r="BN206" s="91"/>
      <c r="BO206" s="91"/>
      <c r="BP206" s="91"/>
      <c r="BQ206" s="91"/>
      <c r="BR206" s="91"/>
      <c r="BS206" s="91"/>
      <c r="BT206" s="499"/>
      <c r="BU206" s="499"/>
      <c r="BV206" s="499"/>
    </row>
    <row r="207" spans="54:74">
      <c r="BB207" s="407"/>
      <c r="BC207" s="407"/>
      <c r="BD207" s="409"/>
      <c r="BE207" s="91"/>
      <c r="BF207" s="91"/>
      <c r="BG207" s="91"/>
      <c r="BH207" s="88">
        <f t="shared" ca="1" si="10"/>
        <v>46259</v>
      </c>
      <c r="BI207" s="206">
        <f t="shared" ca="1" si="11"/>
        <v>1</v>
      </c>
      <c r="BJ207" s="501" t="s">
        <v>918</v>
      </c>
      <c r="BK207" s="91"/>
      <c r="BL207" s="91"/>
      <c r="BM207" s="91"/>
      <c r="BN207" s="91"/>
      <c r="BO207" s="91"/>
      <c r="BP207" s="91"/>
      <c r="BQ207" s="91"/>
      <c r="BR207" s="91"/>
      <c r="BS207" s="91"/>
      <c r="BT207" s="499"/>
      <c r="BU207" s="499"/>
      <c r="BV207" s="499"/>
    </row>
    <row r="208" spans="54:74">
      <c r="BB208" s="407"/>
      <c r="BC208" s="407"/>
      <c r="BD208" s="409"/>
      <c r="BE208" s="91"/>
      <c r="BF208" s="91"/>
      <c r="BG208" s="91"/>
      <c r="BH208" s="88">
        <f t="shared" ca="1" si="10"/>
        <v>46260</v>
      </c>
      <c r="BI208" s="206">
        <f t="shared" ca="1" si="11"/>
        <v>1</v>
      </c>
      <c r="BJ208" s="501" t="s">
        <v>918</v>
      </c>
      <c r="BK208" s="91"/>
      <c r="BL208" s="91"/>
      <c r="BM208" s="91"/>
      <c r="BN208" s="91"/>
      <c r="BO208" s="91"/>
      <c r="BP208" s="91"/>
      <c r="BQ208" s="91"/>
      <c r="BR208" s="91"/>
      <c r="BS208" s="91"/>
      <c r="BT208" s="499"/>
      <c r="BU208" s="499"/>
      <c r="BV208" s="499"/>
    </row>
    <row r="209" spans="54:74">
      <c r="BB209" s="407"/>
      <c r="BC209" s="407"/>
      <c r="BD209" s="409"/>
      <c r="BE209" s="91"/>
      <c r="BF209" s="91"/>
      <c r="BG209" s="91"/>
      <c r="BH209" s="88">
        <f t="shared" ca="1" si="10"/>
        <v>46261</v>
      </c>
      <c r="BI209" s="206">
        <f t="shared" ca="1" si="11"/>
        <v>1</v>
      </c>
      <c r="BJ209" s="501" t="s">
        <v>918</v>
      </c>
      <c r="BK209" s="91"/>
      <c r="BL209" s="91"/>
      <c r="BM209" s="91"/>
      <c r="BN209" s="91"/>
      <c r="BO209" s="91"/>
      <c r="BP209" s="91"/>
      <c r="BQ209" s="91"/>
      <c r="BR209" s="91"/>
      <c r="BS209" s="91"/>
      <c r="BT209" s="499"/>
      <c r="BU209" s="499"/>
      <c r="BV209" s="499"/>
    </row>
    <row r="210" spans="54:74">
      <c r="BB210" s="407"/>
      <c r="BC210" s="407"/>
      <c r="BD210" s="409"/>
      <c r="BE210" s="91"/>
      <c r="BF210" s="91"/>
      <c r="BG210" s="91"/>
      <c r="BH210" s="88">
        <f t="shared" ca="1" si="10"/>
        <v>46262</v>
      </c>
      <c r="BI210" s="206">
        <f t="shared" ca="1" si="11"/>
        <v>1</v>
      </c>
      <c r="BJ210" s="501" t="s">
        <v>918</v>
      </c>
      <c r="BK210" s="91"/>
      <c r="BL210" s="91"/>
      <c r="BM210" s="91"/>
      <c r="BN210" s="91"/>
      <c r="BO210" s="91"/>
      <c r="BP210" s="91"/>
      <c r="BQ210" s="91"/>
      <c r="BR210" s="91"/>
      <c r="BS210" s="91"/>
      <c r="BT210" s="499"/>
      <c r="BU210" s="499"/>
      <c r="BV210" s="499"/>
    </row>
    <row r="211" spans="54:74">
      <c r="BB211" s="407"/>
      <c r="BC211" s="407"/>
      <c r="BD211" s="409"/>
      <c r="BE211" s="91"/>
      <c r="BF211" s="91"/>
      <c r="BG211" s="91"/>
      <c r="BH211" s="88">
        <f t="shared" ca="1" si="10"/>
        <v>46263</v>
      </c>
      <c r="BI211" s="206">
        <f t="shared" ca="1" si="11"/>
        <v>1</v>
      </c>
      <c r="BJ211" s="501" t="s">
        <v>918</v>
      </c>
      <c r="BK211" s="91"/>
      <c r="BL211" s="91"/>
      <c r="BM211" s="91"/>
      <c r="BN211" s="91"/>
      <c r="BO211" s="91"/>
      <c r="BP211" s="91"/>
      <c r="BQ211" s="91"/>
      <c r="BR211" s="91"/>
      <c r="BS211" s="91"/>
      <c r="BT211" s="499"/>
      <c r="BU211" s="499"/>
      <c r="BV211" s="499"/>
    </row>
    <row r="212" spans="54:74">
      <c r="BB212" s="407"/>
      <c r="BC212" s="407"/>
      <c r="BD212" s="409"/>
      <c r="BE212" s="91"/>
      <c r="BF212" s="91"/>
      <c r="BG212" s="91"/>
      <c r="BH212" s="88">
        <f t="shared" ca="1" si="10"/>
        <v>46264</v>
      </c>
      <c r="BI212" s="206">
        <f t="shared" ca="1" si="11"/>
        <v>1</v>
      </c>
      <c r="BJ212" s="501" t="s">
        <v>918</v>
      </c>
      <c r="BK212" s="91"/>
      <c r="BL212" s="91"/>
      <c r="BM212" s="91"/>
      <c r="BN212" s="91"/>
      <c r="BO212" s="91"/>
      <c r="BP212" s="91"/>
      <c r="BQ212" s="91"/>
      <c r="BR212" s="91"/>
      <c r="BS212" s="91"/>
      <c r="BT212" s="499"/>
      <c r="BU212" s="499"/>
      <c r="BV212" s="499"/>
    </row>
    <row r="213" spans="54:74">
      <c r="BB213" s="407"/>
      <c r="BC213" s="407"/>
      <c r="BD213" s="409"/>
      <c r="BE213" s="91"/>
      <c r="BF213" s="91"/>
      <c r="BG213" s="91"/>
      <c r="BH213" s="88">
        <f t="shared" ca="1" si="10"/>
        <v>46265</v>
      </c>
      <c r="BI213" s="206" t="str">
        <f t="shared" ca="1" si="11"/>
        <v/>
      </c>
      <c r="BJ213" s="501"/>
      <c r="BK213" s="91"/>
      <c r="BL213" s="91"/>
      <c r="BM213" s="91"/>
      <c r="BN213" s="91"/>
      <c r="BO213" s="91"/>
      <c r="BP213" s="91"/>
      <c r="BQ213" s="91"/>
      <c r="BR213" s="91"/>
      <c r="BS213" s="91"/>
      <c r="BT213" s="499"/>
      <c r="BU213" s="499"/>
      <c r="BV213" s="499"/>
    </row>
    <row r="214" spans="54:74">
      <c r="BB214" s="407"/>
      <c r="BC214" s="407"/>
      <c r="BD214" s="409"/>
      <c r="BE214" s="91"/>
      <c r="BF214" s="91"/>
      <c r="BG214" s="91"/>
      <c r="BH214" s="88">
        <f t="shared" ca="1" si="10"/>
        <v>46266</v>
      </c>
      <c r="BI214" s="206">
        <f t="shared" ca="1" si="11"/>
        <v>1</v>
      </c>
      <c r="BJ214" s="501" t="s">
        <v>919</v>
      </c>
      <c r="BK214" s="91"/>
      <c r="BL214" s="91"/>
      <c r="BM214" s="91"/>
      <c r="BN214" s="91"/>
      <c r="BO214" s="91"/>
      <c r="BP214" s="91"/>
      <c r="BQ214" s="91"/>
      <c r="BR214" s="91"/>
      <c r="BS214" s="91"/>
      <c r="BT214" s="499"/>
      <c r="BU214" s="499"/>
      <c r="BV214" s="499"/>
    </row>
    <row r="215" spans="54:74">
      <c r="BB215" s="407"/>
      <c r="BC215" s="407"/>
      <c r="BD215" s="409"/>
      <c r="BE215" s="91"/>
      <c r="BF215" s="91"/>
      <c r="BG215" s="91"/>
      <c r="BH215" s="88">
        <f t="shared" ca="1" si="10"/>
        <v>46267</v>
      </c>
      <c r="BI215" s="206">
        <f t="shared" ca="1" si="11"/>
        <v>1</v>
      </c>
      <c r="BJ215" s="501" t="s">
        <v>919</v>
      </c>
      <c r="BK215" s="91"/>
      <c r="BL215" s="91"/>
      <c r="BM215" s="91"/>
      <c r="BN215" s="91"/>
      <c r="BO215" s="91"/>
      <c r="BP215" s="91"/>
      <c r="BQ215" s="91"/>
      <c r="BR215" s="91"/>
      <c r="BS215" s="91"/>
      <c r="BT215" s="499"/>
      <c r="BU215" s="499"/>
      <c r="BV215" s="499"/>
    </row>
    <row r="216" spans="54:74">
      <c r="BB216" s="407"/>
      <c r="BC216" s="407"/>
      <c r="BD216" s="409"/>
      <c r="BE216" s="91"/>
      <c r="BF216" s="91"/>
      <c r="BG216" s="91"/>
      <c r="BH216" s="88">
        <f t="shared" ca="1" si="10"/>
        <v>46268</v>
      </c>
      <c r="BI216" s="206">
        <f t="shared" ca="1" si="11"/>
        <v>1</v>
      </c>
      <c r="BJ216" s="501" t="s">
        <v>919</v>
      </c>
      <c r="BK216" s="91"/>
      <c r="BL216" s="91"/>
      <c r="BM216" s="91"/>
      <c r="BN216" s="91"/>
      <c r="BO216" s="91"/>
      <c r="BP216" s="91"/>
      <c r="BQ216" s="91"/>
      <c r="BR216" s="91"/>
      <c r="BS216" s="91"/>
      <c r="BT216" s="499"/>
      <c r="BU216" s="499"/>
      <c r="BV216" s="499"/>
    </row>
    <row r="217" spans="54:74">
      <c r="BB217" s="407"/>
      <c r="BC217" s="407"/>
      <c r="BD217" s="409"/>
      <c r="BE217" s="91"/>
      <c r="BF217" s="91"/>
      <c r="BG217" s="91"/>
      <c r="BH217" s="88">
        <f t="shared" ca="1" si="10"/>
        <v>46269</v>
      </c>
      <c r="BI217" s="206">
        <f t="shared" ca="1" si="11"/>
        <v>1</v>
      </c>
      <c r="BJ217" s="501" t="s">
        <v>919</v>
      </c>
      <c r="BK217" s="91"/>
      <c r="BL217" s="91"/>
      <c r="BM217" s="91"/>
      <c r="BN217" s="91"/>
      <c r="BO217" s="91"/>
      <c r="BP217" s="91"/>
      <c r="BQ217" s="91"/>
      <c r="BR217" s="91"/>
      <c r="BS217" s="91"/>
      <c r="BT217" s="499"/>
      <c r="BU217" s="499"/>
      <c r="BV217" s="499"/>
    </row>
    <row r="218" spans="54:74">
      <c r="BB218" s="407"/>
      <c r="BC218" s="407"/>
      <c r="BD218" s="409"/>
      <c r="BE218" s="91"/>
      <c r="BF218" s="91"/>
      <c r="BG218" s="91"/>
      <c r="BH218" s="88">
        <f t="shared" ca="1" si="10"/>
        <v>46270</v>
      </c>
      <c r="BI218" s="206">
        <f t="shared" ca="1" si="11"/>
        <v>1</v>
      </c>
      <c r="BJ218" s="501" t="s">
        <v>919</v>
      </c>
      <c r="BK218" s="91"/>
      <c r="BL218" s="91"/>
      <c r="BM218" s="91"/>
      <c r="BN218" s="91"/>
      <c r="BO218" s="91"/>
      <c r="BP218" s="91"/>
      <c r="BQ218" s="91"/>
      <c r="BR218" s="91"/>
      <c r="BS218" s="91"/>
      <c r="BT218" s="499"/>
      <c r="BU218" s="499"/>
      <c r="BV218" s="499"/>
    </row>
    <row r="219" spans="54:74">
      <c r="BB219" s="407"/>
      <c r="BC219" s="407"/>
      <c r="BD219" s="409"/>
      <c r="BE219" s="91"/>
      <c r="BF219" s="91"/>
      <c r="BG219" s="91"/>
      <c r="BH219" s="88">
        <f t="shared" ca="1" si="10"/>
        <v>46271</v>
      </c>
      <c r="BI219" s="206">
        <f t="shared" ca="1" si="11"/>
        <v>1</v>
      </c>
      <c r="BJ219" s="501" t="s">
        <v>919</v>
      </c>
      <c r="BK219" s="91"/>
      <c r="BL219" s="91"/>
      <c r="BM219" s="91"/>
      <c r="BN219" s="91"/>
      <c r="BO219" s="91"/>
      <c r="BP219" s="91"/>
      <c r="BQ219" s="91"/>
      <c r="BR219" s="91"/>
      <c r="BS219" s="91"/>
      <c r="BT219" s="499"/>
      <c r="BU219" s="499"/>
      <c r="BV219" s="499"/>
    </row>
    <row r="220" spans="54:74">
      <c r="BB220" s="407"/>
      <c r="BC220" s="407"/>
      <c r="BD220" s="409"/>
      <c r="BE220" s="91"/>
      <c r="BF220" s="91"/>
      <c r="BG220" s="91"/>
      <c r="BH220" s="88">
        <f t="shared" ca="1" si="10"/>
        <v>46272</v>
      </c>
      <c r="BI220" s="206" t="str">
        <f t="shared" ca="1" si="11"/>
        <v/>
      </c>
      <c r="BJ220" s="501" t="str">
        <f t="shared" ref="BJ220" ca="1" si="12">IF(BI220=1,BH220,"")</f>
        <v/>
      </c>
      <c r="BK220" s="91"/>
      <c r="BL220" s="91"/>
      <c r="BM220" s="91"/>
      <c r="BN220" s="91"/>
      <c r="BO220" s="91"/>
      <c r="BP220" s="91"/>
      <c r="BQ220" s="91"/>
      <c r="BR220" s="91"/>
      <c r="BS220" s="91"/>
      <c r="BT220" s="499"/>
      <c r="BU220" s="499"/>
      <c r="BV220" s="499"/>
    </row>
    <row r="221" spans="54:74">
      <c r="BB221" s="407"/>
      <c r="BC221" s="407"/>
      <c r="BD221" s="409"/>
      <c r="BE221" s="91"/>
      <c r="BF221" s="91"/>
      <c r="BG221" s="91"/>
      <c r="BH221" s="88">
        <f t="shared" ca="1" si="10"/>
        <v>46273</v>
      </c>
      <c r="BI221" s="206">
        <f t="shared" ca="1" si="11"/>
        <v>1</v>
      </c>
      <c r="BJ221" s="501" t="s">
        <v>919</v>
      </c>
      <c r="BK221" s="91"/>
      <c r="BL221" s="91"/>
      <c r="BM221" s="91"/>
      <c r="BN221" s="91"/>
      <c r="BO221" s="91"/>
      <c r="BP221" s="91"/>
      <c r="BQ221" s="91"/>
      <c r="BR221" s="91"/>
      <c r="BS221" s="91"/>
      <c r="BT221" s="499"/>
      <c r="BU221" s="499"/>
      <c r="BV221" s="499"/>
    </row>
    <row r="222" spans="54:74">
      <c r="BB222" s="407"/>
      <c r="BC222" s="407"/>
      <c r="BD222" s="409"/>
      <c r="BE222" s="91"/>
      <c r="BF222" s="91"/>
      <c r="BG222" s="91"/>
      <c r="BH222" s="88">
        <f t="shared" ca="1" si="10"/>
        <v>46274</v>
      </c>
      <c r="BI222" s="206">
        <f t="shared" ca="1" si="11"/>
        <v>1</v>
      </c>
      <c r="BJ222" s="501" t="s">
        <v>919</v>
      </c>
      <c r="BK222" s="91"/>
      <c r="BL222" s="91"/>
      <c r="BM222" s="91"/>
      <c r="BN222" s="91"/>
      <c r="BO222" s="91"/>
      <c r="BP222" s="91"/>
      <c r="BQ222" s="91"/>
      <c r="BR222" s="91"/>
      <c r="BS222" s="91"/>
      <c r="BT222" s="499"/>
      <c r="BU222" s="499"/>
      <c r="BV222" s="499"/>
    </row>
    <row r="223" spans="54:74">
      <c r="BB223" s="407"/>
      <c r="BC223" s="407"/>
      <c r="BD223" s="409"/>
      <c r="BE223" s="91"/>
      <c r="BF223" s="91"/>
      <c r="BG223" s="91"/>
      <c r="BH223" s="88">
        <f t="shared" ca="1" si="10"/>
        <v>46275</v>
      </c>
      <c r="BI223" s="206">
        <f t="shared" ca="1" si="11"/>
        <v>1</v>
      </c>
      <c r="BJ223" s="501" t="s">
        <v>919</v>
      </c>
      <c r="BK223" s="91"/>
      <c r="BL223" s="91"/>
      <c r="BM223" s="91"/>
      <c r="BN223" s="91"/>
      <c r="BO223" s="91"/>
      <c r="BP223" s="91"/>
      <c r="BQ223" s="91"/>
      <c r="BR223" s="91"/>
      <c r="BS223" s="91"/>
      <c r="BT223" s="499"/>
      <c r="BU223" s="499"/>
      <c r="BV223" s="499"/>
    </row>
    <row r="224" spans="54:74">
      <c r="BB224" s="407"/>
      <c r="BC224" s="407"/>
      <c r="BD224" s="409"/>
      <c r="BE224" s="91"/>
      <c r="BF224" s="91"/>
      <c r="BG224" s="91"/>
      <c r="BH224" s="88">
        <f t="shared" ca="1" si="10"/>
        <v>46276</v>
      </c>
      <c r="BI224" s="206">
        <f t="shared" ca="1" si="11"/>
        <v>1</v>
      </c>
      <c r="BJ224" s="501" t="s">
        <v>919</v>
      </c>
      <c r="BK224" s="91"/>
      <c r="BL224" s="91"/>
      <c r="BM224" s="91"/>
      <c r="BN224" s="91"/>
      <c r="BO224" s="91"/>
      <c r="BP224" s="91"/>
      <c r="BQ224" s="91"/>
      <c r="BR224" s="91"/>
      <c r="BS224" s="91"/>
      <c r="BT224" s="499"/>
      <c r="BU224" s="499"/>
      <c r="BV224" s="499"/>
    </row>
    <row r="225" spans="54:74">
      <c r="BB225" s="407"/>
      <c r="BC225" s="407"/>
      <c r="BD225" s="409"/>
      <c r="BE225" s="91"/>
      <c r="BF225" s="91"/>
      <c r="BG225" s="91"/>
      <c r="BH225" s="88">
        <f t="shared" ca="1" si="10"/>
        <v>46277</v>
      </c>
      <c r="BI225" s="206">
        <f t="shared" ca="1" si="11"/>
        <v>1</v>
      </c>
      <c r="BJ225" s="501" t="s">
        <v>919</v>
      </c>
      <c r="BK225" s="91"/>
      <c r="BL225" s="91"/>
      <c r="BM225" s="91"/>
      <c r="BN225" s="91"/>
      <c r="BO225" s="91"/>
      <c r="BP225" s="91"/>
      <c r="BQ225" s="91"/>
      <c r="BR225" s="91"/>
      <c r="BS225" s="91"/>
      <c r="BT225" s="499"/>
      <c r="BU225" s="499"/>
      <c r="BV225" s="499"/>
    </row>
    <row r="226" spans="54:74">
      <c r="BB226" s="407"/>
      <c r="BC226" s="407"/>
      <c r="BD226" s="409"/>
      <c r="BE226" s="91"/>
      <c r="BF226" s="91"/>
      <c r="BG226" s="91"/>
      <c r="BH226" s="88">
        <f t="shared" ca="1" si="10"/>
        <v>46278</v>
      </c>
      <c r="BI226" s="206">
        <f t="shared" ca="1" si="11"/>
        <v>1</v>
      </c>
      <c r="BJ226" s="501" t="s">
        <v>919</v>
      </c>
      <c r="BK226" s="91"/>
      <c r="BL226" s="91"/>
      <c r="BM226" s="91"/>
      <c r="BN226" s="91"/>
      <c r="BO226" s="91"/>
      <c r="BP226" s="91"/>
      <c r="BQ226" s="91"/>
      <c r="BR226" s="91"/>
      <c r="BS226" s="91"/>
      <c r="BT226" s="499"/>
      <c r="BU226" s="499"/>
      <c r="BV226" s="499"/>
    </row>
    <row r="227" spans="54:74">
      <c r="BB227" s="407"/>
      <c r="BC227" s="407"/>
      <c r="BD227" s="409"/>
      <c r="BE227" s="91"/>
      <c r="BF227" s="91"/>
      <c r="BG227" s="91"/>
      <c r="BH227" s="88">
        <f t="shared" ca="1" si="10"/>
        <v>46279</v>
      </c>
      <c r="BI227" s="206" t="str">
        <f t="shared" ca="1" si="11"/>
        <v/>
      </c>
      <c r="BJ227" s="501" t="s">
        <v>919</v>
      </c>
      <c r="BK227" s="91"/>
      <c r="BL227" s="91"/>
      <c r="BM227" s="91"/>
      <c r="BN227" s="91"/>
      <c r="BO227" s="91"/>
      <c r="BP227" s="91"/>
      <c r="BQ227" s="91"/>
      <c r="BR227" s="91"/>
      <c r="BS227" s="91"/>
      <c r="BT227" s="499"/>
      <c r="BU227" s="499"/>
      <c r="BV227" s="499"/>
    </row>
    <row r="228" spans="54:74">
      <c r="BB228" s="407"/>
      <c r="BC228" s="407"/>
      <c r="BD228" s="409"/>
      <c r="BE228" s="91"/>
      <c r="BF228" s="91"/>
      <c r="BG228" s="91"/>
      <c r="BH228" s="88">
        <f t="shared" ca="1" si="10"/>
        <v>46280</v>
      </c>
      <c r="BI228" s="206">
        <f t="shared" ca="1" si="11"/>
        <v>1</v>
      </c>
      <c r="BJ228" s="501" t="str">
        <f ca="1">IF(BI227=1,BH227,"")</f>
        <v/>
      </c>
      <c r="BK228" s="91"/>
      <c r="BL228" s="91"/>
      <c r="BM228" s="91"/>
      <c r="BN228" s="91"/>
      <c r="BO228" s="91"/>
      <c r="BP228" s="91"/>
      <c r="BQ228" s="91"/>
      <c r="BR228" s="91"/>
      <c r="BS228" s="91"/>
      <c r="BT228" s="499"/>
      <c r="BU228" s="499"/>
      <c r="BV228" s="499"/>
    </row>
    <row r="229" spans="54:74">
      <c r="BB229" s="407"/>
      <c r="BC229" s="407"/>
      <c r="BD229" s="409"/>
      <c r="BE229" s="91"/>
      <c r="BF229" s="91"/>
      <c r="BG229" s="91"/>
      <c r="BH229" s="88">
        <f t="shared" ca="1" si="10"/>
        <v>46281</v>
      </c>
      <c r="BI229" s="206">
        <f t="shared" ca="1" si="11"/>
        <v>1</v>
      </c>
      <c r="BJ229" s="501">
        <f t="shared" ref="BJ229:BJ292" ca="1" si="13">IF(BI229=1,BH229,"")</f>
        <v>46281</v>
      </c>
      <c r="BK229" s="91"/>
      <c r="BL229" s="91"/>
      <c r="BM229" s="91"/>
      <c r="BN229" s="91"/>
      <c r="BO229" s="91"/>
      <c r="BP229" s="91"/>
      <c r="BQ229" s="91"/>
      <c r="BR229" s="91"/>
      <c r="BS229" s="91"/>
      <c r="BT229" s="499"/>
      <c r="BU229" s="499"/>
      <c r="BV229" s="499"/>
    </row>
    <row r="230" spans="54:74">
      <c r="BB230" s="407"/>
      <c r="BC230" s="407"/>
      <c r="BD230" s="409"/>
      <c r="BE230" s="91"/>
      <c r="BF230" s="91"/>
      <c r="BG230" s="91"/>
      <c r="BH230" s="88">
        <f t="shared" ca="1" si="10"/>
        <v>46282</v>
      </c>
      <c r="BI230" s="206">
        <f t="shared" ca="1" si="11"/>
        <v>1</v>
      </c>
      <c r="BJ230" s="501">
        <f t="shared" ca="1" si="13"/>
        <v>46282</v>
      </c>
      <c r="BK230" s="91"/>
      <c r="BL230" s="91"/>
      <c r="BM230" s="91"/>
      <c r="BN230" s="91"/>
      <c r="BO230" s="91"/>
      <c r="BP230" s="91"/>
      <c r="BQ230" s="91"/>
      <c r="BR230" s="91"/>
      <c r="BS230" s="91"/>
      <c r="BT230" s="499"/>
      <c r="BU230" s="499"/>
      <c r="BV230" s="499"/>
    </row>
    <row r="231" spans="54:74">
      <c r="BB231" s="407"/>
      <c r="BC231" s="407"/>
      <c r="BD231" s="409"/>
      <c r="BE231" s="91"/>
      <c r="BF231" s="91"/>
      <c r="BG231" s="91"/>
      <c r="BH231" s="88">
        <f t="shared" ca="1" si="10"/>
        <v>46283</v>
      </c>
      <c r="BI231" s="206">
        <f t="shared" ca="1" si="11"/>
        <v>1</v>
      </c>
      <c r="BJ231" s="501">
        <f t="shared" ca="1" si="13"/>
        <v>46283</v>
      </c>
      <c r="BK231" s="91"/>
      <c r="BL231" s="91"/>
      <c r="BM231" s="91"/>
      <c r="BN231" s="91"/>
      <c r="BO231" s="91"/>
      <c r="BP231" s="91"/>
      <c r="BQ231" s="91"/>
      <c r="BR231" s="91"/>
      <c r="BS231" s="91"/>
      <c r="BT231" s="499"/>
      <c r="BU231" s="499"/>
      <c r="BV231" s="499"/>
    </row>
    <row r="232" spans="54:74">
      <c r="BB232" s="407"/>
      <c r="BC232" s="407"/>
      <c r="BD232" s="409"/>
      <c r="BE232" s="91"/>
      <c r="BF232" s="91"/>
      <c r="BG232" s="91"/>
      <c r="BH232" s="88">
        <f t="shared" ca="1" si="10"/>
        <v>46284</v>
      </c>
      <c r="BI232" s="206">
        <f t="shared" ca="1" si="11"/>
        <v>1</v>
      </c>
      <c r="BJ232" s="501">
        <f t="shared" ca="1" si="13"/>
        <v>46284</v>
      </c>
      <c r="BK232" s="91"/>
      <c r="BL232" s="91"/>
      <c r="BM232" s="91"/>
      <c r="BN232" s="91"/>
      <c r="BO232" s="91"/>
      <c r="BP232" s="91"/>
      <c r="BQ232" s="91"/>
      <c r="BR232" s="91"/>
      <c r="BS232" s="91"/>
      <c r="BT232" s="499"/>
      <c r="BU232" s="499"/>
      <c r="BV232" s="499"/>
    </row>
    <row r="233" spans="54:74">
      <c r="BB233" s="407"/>
      <c r="BC233" s="407"/>
      <c r="BD233" s="409"/>
      <c r="BE233" s="91"/>
      <c r="BF233" s="91"/>
      <c r="BG233" s="91"/>
      <c r="BH233" s="88">
        <f t="shared" ca="1" si="10"/>
        <v>46285</v>
      </c>
      <c r="BI233" s="206">
        <f t="shared" ca="1" si="11"/>
        <v>1</v>
      </c>
      <c r="BJ233" s="501">
        <f t="shared" ca="1" si="13"/>
        <v>46285</v>
      </c>
      <c r="BK233" s="91"/>
      <c r="BL233" s="91"/>
      <c r="BM233" s="91"/>
      <c r="BN233" s="91"/>
      <c r="BO233" s="91"/>
      <c r="BP233" s="91"/>
      <c r="BQ233" s="91"/>
      <c r="BR233" s="91"/>
      <c r="BS233" s="91"/>
      <c r="BT233" s="499"/>
      <c r="BU233" s="499"/>
      <c r="BV233" s="499"/>
    </row>
    <row r="234" spans="54:74">
      <c r="BB234" s="407"/>
      <c r="BC234" s="407"/>
      <c r="BD234" s="409"/>
      <c r="BE234" s="91"/>
      <c r="BF234" s="91"/>
      <c r="BG234" s="91"/>
      <c r="BH234" s="88">
        <f t="shared" ca="1" si="10"/>
        <v>46286</v>
      </c>
      <c r="BI234" s="206" t="str">
        <f t="shared" ca="1" si="11"/>
        <v/>
      </c>
      <c r="BJ234" s="501" t="str">
        <f t="shared" ca="1" si="13"/>
        <v/>
      </c>
      <c r="BK234" s="91"/>
      <c r="BL234" s="91"/>
      <c r="BM234" s="91"/>
      <c r="BN234" s="91"/>
      <c r="BO234" s="91"/>
      <c r="BP234" s="91"/>
      <c r="BQ234" s="91"/>
      <c r="BR234" s="91"/>
      <c r="BS234" s="91"/>
      <c r="BT234" s="499"/>
      <c r="BU234" s="499"/>
      <c r="BV234" s="499"/>
    </row>
    <row r="235" spans="54:74">
      <c r="BB235" s="407"/>
      <c r="BC235" s="407"/>
      <c r="BD235" s="409"/>
      <c r="BE235" s="91"/>
      <c r="BF235" s="91"/>
      <c r="BG235" s="91"/>
      <c r="BH235" s="88">
        <f t="shared" ca="1" si="10"/>
        <v>46287</v>
      </c>
      <c r="BI235" s="206">
        <f t="shared" ca="1" si="11"/>
        <v>1</v>
      </c>
      <c r="BJ235" s="501">
        <f t="shared" ca="1" si="13"/>
        <v>46287</v>
      </c>
      <c r="BK235" s="91"/>
      <c r="BL235" s="91"/>
      <c r="BM235" s="91"/>
      <c r="BN235" s="91"/>
      <c r="BO235" s="91"/>
      <c r="BP235" s="91"/>
      <c r="BQ235" s="91"/>
      <c r="BR235" s="91"/>
      <c r="BS235" s="91"/>
      <c r="BT235" s="499"/>
      <c r="BU235" s="499"/>
      <c r="BV235" s="499"/>
    </row>
    <row r="236" spans="54:74">
      <c r="BB236" s="407"/>
      <c r="BC236" s="407"/>
      <c r="BD236" s="409"/>
      <c r="BE236" s="91"/>
      <c r="BF236" s="91"/>
      <c r="BG236" s="91"/>
      <c r="BH236" s="88">
        <f t="shared" ref="BH236:BH296" ca="1" si="14">SUM(BH235+1)</f>
        <v>46288</v>
      </c>
      <c r="BI236" s="206">
        <f t="shared" ref="BI236:BI299" ca="1" si="15">IF(TEXT(BH236,"ddddd")="maandag","",1)</f>
        <v>1</v>
      </c>
      <c r="BJ236" s="501">
        <f t="shared" ca="1" si="13"/>
        <v>46288</v>
      </c>
      <c r="BK236" s="91"/>
      <c r="BL236" s="91"/>
      <c r="BM236" s="91"/>
      <c r="BN236" s="91"/>
      <c r="BO236" s="91"/>
      <c r="BP236" s="91"/>
      <c r="BQ236" s="91"/>
      <c r="BR236" s="91"/>
      <c r="BS236" s="91"/>
      <c r="BT236" s="499"/>
      <c r="BU236" s="499"/>
      <c r="BV236" s="499"/>
    </row>
    <row r="237" spans="54:74">
      <c r="BB237" s="407"/>
      <c r="BC237" s="407"/>
      <c r="BD237" s="409"/>
      <c r="BE237" s="91"/>
      <c r="BF237" s="91"/>
      <c r="BG237" s="91"/>
      <c r="BH237" s="88">
        <f t="shared" ca="1" si="14"/>
        <v>46289</v>
      </c>
      <c r="BI237" s="206">
        <f t="shared" ca="1" si="15"/>
        <v>1</v>
      </c>
      <c r="BJ237" s="501">
        <f t="shared" ca="1" si="13"/>
        <v>46289</v>
      </c>
      <c r="BK237" s="91"/>
      <c r="BL237" s="91"/>
      <c r="BM237" s="91"/>
      <c r="BN237" s="91"/>
      <c r="BO237" s="91"/>
      <c r="BP237" s="91"/>
      <c r="BQ237" s="91"/>
      <c r="BR237" s="91"/>
      <c r="BS237" s="91"/>
      <c r="BT237" s="499"/>
      <c r="BU237" s="499"/>
      <c r="BV237" s="499"/>
    </row>
    <row r="238" spans="54:74">
      <c r="BB238" s="407"/>
      <c r="BC238" s="407"/>
      <c r="BD238" s="409"/>
      <c r="BE238" s="91"/>
      <c r="BF238" s="91"/>
      <c r="BG238" s="91"/>
      <c r="BH238" s="88">
        <f t="shared" ca="1" si="14"/>
        <v>46290</v>
      </c>
      <c r="BI238" s="206">
        <f t="shared" ca="1" si="15"/>
        <v>1</v>
      </c>
      <c r="BJ238" s="501">
        <f t="shared" ca="1" si="13"/>
        <v>46290</v>
      </c>
      <c r="BK238" s="91"/>
      <c r="BL238" s="91"/>
      <c r="BM238" s="91"/>
      <c r="BN238" s="91"/>
      <c r="BO238" s="91"/>
      <c r="BP238" s="91"/>
      <c r="BQ238" s="91"/>
      <c r="BR238" s="91"/>
      <c r="BS238" s="91"/>
      <c r="BT238" s="499"/>
      <c r="BU238" s="499"/>
      <c r="BV238" s="499"/>
    </row>
    <row r="239" spans="54:74">
      <c r="BB239" s="407"/>
      <c r="BC239" s="407"/>
      <c r="BD239" s="409"/>
      <c r="BE239" s="91"/>
      <c r="BF239" s="91"/>
      <c r="BG239" s="91"/>
      <c r="BH239" s="88">
        <f t="shared" ca="1" si="14"/>
        <v>46291</v>
      </c>
      <c r="BI239" s="206">
        <f t="shared" ca="1" si="15"/>
        <v>1</v>
      </c>
      <c r="BJ239" s="501">
        <f t="shared" ca="1" si="13"/>
        <v>46291</v>
      </c>
      <c r="BK239" s="91"/>
      <c r="BL239" s="91"/>
      <c r="BM239" s="91"/>
      <c r="BN239" s="91"/>
      <c r="BO239" s="91"/>
      <c r="BP239" s="91"/>
      <c r="BQ239" s="91"/>
      <c r="BR239" s="91"/>
      <c r="BS239" s="91"/>
      <c r="BT239" s="499"/>
      <c r="BU239" s="499"/>
      <c r="BV239" s="499"/>
    </row>
    <row r="240" spans="54:74">
      <c r="BB240" s="407"/>
      <c r="BC240" s="407"/>
      <c r="BD240" s="409"/>
      <c r="BE240" s="91"/>
      <c r="BF240" s="91"/>
      <c r="BG240" s="91"/>
      <c r="BH240" s="88">
        <f t="shared" ca="1" si="14"/>
        <v>46292</v>
      </c>
      <c r="BI240" s="206">
        <f t="shared" ca="1" si="15"/>
        <v>1</v>
      </c>
      <c r="BJ240" s="501">
        <f t="shared" ca="1" si="13"/>
        <v>46292</v>
      </c>
      <c r="BK240" s="91"/>
      <c r="BL240" s="91"/>
      <c r="BM240" s="91"/>
      <c r="BN240" s="91"/>
      <c r="BO240" s="91"/>
      <c r="BP240" s="91"/>
      <c r="BQ240" s="91"/>
      <c r="BR240" s="91"/>
      <c r="BS240" s="91"/>
      <c r="BT240" s="499"/>
      <c r="BU240" s="499"/>
      <c r="BV240" s="499"/>
    </row>
    <row r="241" spans="54:74">
      <c r="BB241" s="407"/>
      <c r="BC241" s="407"/>
      <c r="BD241" s="409"/>
      <c r="BE241" s="91"/>
      <c r="BF241" s="91"/>
      <c r="BG241" s="91"/>
      <c r="BH241" s="88">
        <f t="shared" ca="1" si="14"/>
        <v>46293</v>
      </c>
      <c r="BI241" s="206" t="str">
        <f t="shared" ca="1" si="15"/>
        <v/>
      </c>
      <c r="BJ241" s="501" t="str">
        <f t="shared" ca="1" si="13"/>
        <v/>
      </c>
      <c r="BK241" s="91"/>
      <c r="BL241" s="91"/>
      <c r="BM241" s="91"/>
      <c r="BN241" s="91"/>
      <c r="BO241" s="91"/>
      <c r="BP241" s="91"/>
      <c r="BQ241" s="91"/>
      <c r="BR241" s="91"/>
      <c r="BS241" s="91"/>
      <c r="BT241" s="499"/>
      <c r="BU241" s="499"/>
      <c r="BV241" s="499"/>
    </row>
    <row r="242" spans="54:74">
      <c r="BB242" s="407"/>
      <c r="BC242" s="407"/>
      <c r="BD242" s="409"/>
      <c r="BE242" s="91"/>
      <c r="BF242" s="91"/>
      <c r="BG242" s="91"/>
      <c r="BH242" s="88">
        <f t="shared" ca="1" si="14"/>
        <v>46294</v>
      </c>
      <c r="BI242" s="206">
        <f t="shared" ca="1" si="15"/>
        <v>1</v>
      </c>
      <c r="BJ242" s="501">
        <f t="shared" ca="1" si="13"/>
        <v>46294</v>
      </c>
      <c r="BK242" s="91"/>
      <c r="BL242" s="91"/>
      <c r="BM242" s="91"/>
      <c r="BN242" s="91"/>
      <c r="BO242" s="91"/>
      <c r="BP242" s="91"/>
      <c r="BQ242" s="91"/>
      <c r="BR242" s="91"/>
      <c r="BS242" s="91"/>
      <c r="BT242" s="499"/>
      <c r="BU242" s="499"/>
      <c r="BV242" s="499"/>
    </row>
    <row r="243" spans="54:74">
      <c r="BB243" s="407"/>
      <c r="BC243" s="407"/>
      <c r="BD243" s="409"/>
      <c r="BE243" s="91"/>
      <c r="BF243" s="91"/>
      <c r="BG243" s="91"/>
      <c r="BH243" s="88">
        <f t="shared" ca="1" si="14"/>
        <v>46295</v>
      </c>
      <c r="BI243" s="206">
        <f t="shared" ca="1" si="15"/>
        <v>1</v>
      </c>
      <c r="BJ243" s="501">
        <f t="shared" ca="1" si="13"/>
        <v>46295</v>
      </c>
      <c r="BK243" s="91"/>
      <c r="BL243" s="91"/>
      <c r="BM243" s="91"/>
      <c r="BN243" s="91"/>
      <c r="BO243" s="91"/>
      <c r="BP243" s="91"/>
      <c r="BQ243" s="91"/>
      <c r="BR243" s="91"/>
      <c r="BS243" s="91"/>
      <c r="BT243" s="499"/>
      <c r="BU243" s="499"/>
      <c r="BV243" s="499"/>
    </row>
    <row r="244" spans="54:74">
      <c r="BB244" s="407"/>
      <c r="BC244" s="407"/>
      <c r="BD244" s="409"/>
      <c r="BE244" s="91"/>
      <c r="BF244" s="91"/>
      <c r="BG244" s="91"/>
      <c r="BH244" s="88">
        <f t="shared" ca="1" si="14"/>
        <v>46296</v>
      </c>
      <c r="BI244" s="206">
        <f t="shared" ca="1" si="15"/>
        <v>1</v>
      </c>
      <c r="BJ244" s="501">
        <f t="shared" ca="1" si="13"/>
        <v>46296</v>
      </c>
      <c r="BK244" s="91"/>
      <c r="BL244" s="91"/>
      <c r="BM244" s="91"/>
      <c r="BN244" s="91"/>
      <c r="BO244" s="91"/>
      <c r="BP244" s="91"/>
      <c r="BQ244" s="91"/>
      <c r="BR244" s="91"/>
      <c r="BS244" s="91"/>
      <c r="BT244" s="499"/>
      <c r="BU244" s="499"/>
      <c r="BV244" s="499"/>
    </row>
    <row r="245" spans="54:74">
      <c r="BB245" s="407"/>
      <c r="BC245" s="407"/>
      <c r="BD245" s="409"/>
      <c r="BE245" s="91"/>
      <c r="BF245" s="91"/>
      <c r="BG245" s="91"/>
      <c r="BH245" s="88">
        <f t="shared" ca="1" si="14"/>
        <v>46297</v>
      </c>
      <c r="BI245" s="206">
        <f t="shared" ca="1" si="15"/>
        <v>1</v>
      </c>
      <c r="BJ245" s="501">
        <f t="shared" ca="1" si="13"/>
        <v>46297</v>
      </c>
      <c r="BK245" s="91"/>
      <c r="BL245" s="91"/>
      <c r="BM245" s="91"/>
      <c r="BN245" s="91"/>
      <c r="BO245" s="91"/>
      <c r="BP245" s="91"/>
      <c r="BQ245" s="91"/>
      <c r="BR245" s="91"/>
      <c r="BS245" s="91"/>
      <c r="BT245" s="499"/>
      <c r="BU245" s="499"/>
      <c r="BV245" s="499"/>
    </row>
    <row r="246" spans="54:74">
      <c r="BB246" s="407"/>
      <c r="BC246" s="407"/>
      <c r="BD246" s="409"/>
      <c r="BE246" s="91"/>
      <c r="BF246" s="91"/>
      <c r="BG246" s="91"/>
      <c r="BH246" s="88">
        <f t="shared" ca="1" si="14"/>
        <v>46298</v>
      </c>
      <c r="BI246" s="206">
        <f t="shared" ca="1" si="15"/>
        <v>1</v>
      </c>
      <c r="BJ246" s="501">
        <f t="shared" ca="1" si="13"/>
        <v>46298</v>
      </c>
      <c r="BK246" s="91"/>
      <c r="BL246" s="91"/>
      <c r="BM246" s="91"/>
      <c r="BN246" s="91"/>
      <c r="BO246" s="91"/>
      <c r="BP246" s="91"/>
      <c r="BQ246" s="91"/>
      <c r="BR246" s="91"/>
      <c r="BS246" s="91"/>
      <c r="BT246" s="499"/>
      <c r="BU246" s="499"/>
      <c r="BV246" s="499"/>
    </row>
    <row r="247" spans="54:74">
      <c r="BB247" s="407"/>
      <c r="BC247" s="407"/>
      <c r="BD247" s="409"/>
      <c r="BE247" s="91"/>
      <c r="BF247" s="91"/>
      <c r="BG247" s="91"/>
      <c r="BH247" s="88">
        <f t="shared" ca="1" si="14"/>
        <v>46299</v>
      </c>
      <c r="BI247" s="206">
        <f t="shared" ca="1" si="15"/>
        <v>1</v>
      </c>
      <c r="BJ247" s="501">
        <f t="shared" ca="1" si="13"/>
        <v>46299</v>
      </c>
      <c r="BK247" s="91"/>
      <c r="BL247" s="91"/>
      <c r="BM247" s="91"/>
      <c r="BN247" s="91"/>
      <c r="BO247" s="91"/>
      <c r="BP247" s="91"/>
      <c r="BQ247" s="91"/>
      <c r="BR247" s="91"/>
      <c r="BS247" s="91"/>
      <c r="BT247" s="499"/>
      <c r="BU247" s="499"/>
      <c r="BV247" s="499"/>
    </row>
    <row r="248" spans="54:74">
      <c r="BB248" s="407"/>
      <c r="BC248" s="407"/>
      <c r="BD248" s="409"/>
      <c r="BE248" s="91"/>
      <c r="BF248" s="91"/>
      <c r="BG248" s="91"/>
      <c r="BH248" s="88">
        <f t="shared" ca="1" si="14"/>
        <v>46300</v>
      </c>
      <c r="BI248" s="206" t="str">
        <f t="shared" ca="1" si="15"/>
        <v/>
      </c>
      <c r="BJ248" s="501" t="str">
        <f t="shared" ca="1" si="13"/>
        <v/>
      </c>
      <c r="BK248" s="91"/>
      <c r="BL248" s="91"/>
      <c r="BM248" s="91"/>
      <c r="BN248" s="91"/>
      <c r="BO248" s="91"/>
      <c r="BP248" s="91"/>
      <c r="BQ248" s="91"/>
      <c r="BR248" s="91"/>
      <c r="BS248" s="91"/>
      <c r="BT248" s="499"/>
      <c r="BU248" s="499"/>
      <c r="BV248" s="499"/>
    </row>
    <row r="249" spans="54:74">
      <c r="BB249" s="407"/>
      <c r="BC249" s="407"/>
      <c r="BD249" s="409"/>
      <c r="BE249" s="91"/>
      <c r="BF249" s="91"/>
      <c r="BG249" s="91"/>
      <c r="BH249" s="88">
        <f t="shared" ca="1" si="14"/>
        <v>46301</v>
      </c>
      <c r="BI249" s="206">
        <f t="shared" ca="1" si="15"/>
        <v>1</v>
      </c>
      <c r="BJ249" s="501">
        <f t="shared" ca="1" si="13"/>
        <v>46301</v>
      </c>
      <c r="BK249" s="91"/>
      <c r="BL249" s="91"/>
      <c r="BM249" s="91"/>
      <c r="BN249" s="91"/>
      <c r="BO249" s="91"/>
      <c r="BP249" s="91"/>
      <c r="BQ249" s="91"/>
      <c r="BR249" s="91"/>
      <c r="BS249" s="91"/>
      <c r="BT249" s="499"/>
      <c r="BU249" s="499"/>
      <c r="BV249" s="499"/>
    </row>
    <row r="250" spans="54:74">
      <c r="BB250" s="407"/>
      <c r="BC250" s="407"/>
      <c r="BD250" s="409"/>
      <c r="BE250" s="91"/>
      <c r="BF250" s="91"/>
      <c r="BG250" s="91"/>
      <c r="BH250" s="88">
        <f t="shared" ca="1" si="14"/>
        <v>46302</v>
      </c>
      <c r="BI250" s="206">
        <f t="shared" ca="1" si="15"/>
        <v>1</v>
      </c>
      <c r="BJ250" s="501">
        <f t="shared" ca="1" si="13"/>
        <v>46302</v>
      </c>
      <c r="BK250" s="91"/>
      <c r="BL250" s="91"/>
      <c r="BM250" s="91"/>
      <c r="BN250" s="91"/>
      <c r="BO250" s="91"/>
      <c r="BP250" s="91"/>
      <c r="BQ250" s="91"/>
      <c r="BR250" s="91"/>
      <c r="BS250" s="91"/>
      <c r="BT250" s="499"/>
      <c r="BU250" s="499"/>
      <c r="BV250" s="499"/>
    </row>
    <row r="251" spans="54:74">
      <c r="BB251" s="407"/>
      <c r="BC251" s="407"/>
      <c r="BD251" s="409"/>
      <c r="BE251" s="91"/>
      <c r="BF251" s="91"/>
      <c r="BG251" s="91"/>
      <c r="BH251" s="88">
        <f t="shared" ca="1" si="14"/>
        <v>46303</v>
      </c>
      <c r="BI251" s="206">
        <f t="shared" ca="1" si="15"/>
        <v>1</v>
      </c>
      <c r="BJ251" s="501">
        <f t="shared" ca="1" si="13"/>
        <v>46303</v>
      </c>
      <c r="BK251" s="91"/>
      <c r="BL251" s="91"/>
      <c r="BM251" s="91"/>
      <c r="BN251" s="91"/>
      <c r="BO251" s="91"/>
      <c r="BP251" s="91"/>
      <c r="BQ251" s="91"/>
      <c r="BR251" s="91"/>
      <c r="BS251" s="91"/>
      <c r="BT251" s="499"/>
      <c r="BU251" s="499"/>
      <c r="BV251" s="499"/>
    </row>
    <row r="252" spans="54:74">
      <c r="BB252" s="407"/>
      <c r="BC252" s="407"/>
      <c r="BD252" s="409"/>
      <c r="BE252" s="91"/>
      <c r="BF252" s="91"/>
      <c r="BG252" s="91"/>
      <c r="BH252" s="88">
        <f t="shared" ca="1" si="14"/>
        <v>46304</v>
      </c>
      <c r="BI252" s="206">
        <f t="shared" ca="1" si="15"/>
        <v>1</v>
      </c>
      <c r="BJ252" s="501">
        <f t="shared" ca="1" si="13"/>
        <v>46304</v>
      </c>
      <c r="BK252" s="91"/>
      <c r="BL252" s="91"/>
      <c r="BM252" s="91"/>
      <c r="BN252" s="91"/>
      <c r="BO252" s="91"/>
      <c r="BP252" s="91"/>
      <c r="BQ252" s="91"/>
      <c r="BR252" s="91"/>
      <c r="BS252" s="91"/>
      <c r="BT252" s="499"/>
      <c r="BU252" s="499"/>
      <c r="BV252" s="499"/>
    </row>
    <row r="253" spans="54:74">
      <c r="BB253" s="407"/>
      <c r="BC253" s="407"/>
      <c r="BD253" s="409"/>
      <c r="BE253" s="91"/>
      <c r="BF253" s="91"/>
      <c r="BG253" s="91"/>
      <c r="BH253" s="88">
        <f t="shared" ca="1" si="14"/>
        <v>46305</v>
      </c>
      <c r="BI253" s="206">
        <f t="shared" ca="1" si="15"/>
        <v>1</v>
      </c>
      <c r="BJ253" s="501">
        <f t="shared" ca="1" si="13"/>
        <v>46305</v>
      </c>
      <c r="BK253" s="91"/>
      <c r="BL253" s="91"/>
      <c r="BM253" s="91"/>
      <c r="BN253" s="91"/>
      <c r="BO253" s="91"/>
      <c r="BP253" s="91"/>
      <c r="BQ253" s="91"/>
      <c r="BR253" s="91"/>
      <c r="BS253" s="91"/>
      <c r="BT253" s="499"/>
      <c r="BU253" s="499"/>
      <c r="BV253" s="499"/>
    </row>
    <row r="254" spans="54:74">
      <c r="BB254" s="407"/>
      <c r="BC254" s="407"/>
      <c r="BD254" s="409"/>
      <c r="BE254" s="91"/>
      <c r="BF254" s="91"/>
      <c r="BG254" s="91"/>
      <c r="BH254" s="88">
        <f t="shared" ca="1" si="14"/>
        <v>46306</v>
      </c>
      <c r="BI254" s="206">
        <f t="shared" ca="1" si="15"/>
        <v>1</v>
      </c>
      <c r="BJ254" s="501">
        <f t="shared" ca="1" si="13"/>
        <v>46306</v>
      </c>
      <c r="BK254" s="91"/>
      <c r="BL254" s="91"/>
      <c r="BM254" s="91"/>
      <c r="BN254" s="91"/>
      <c r="BO254" s="91"/>
      <c r="BP254" s="91"/>
      <c r="BQ254" s="91"/>
      <c r="BR254" s="91"/>
      <c r="BS254" s="91"/>
      <c r="BT254" s="499"/>
      <c r="BU254" s="499"/>
      <c r="BV254" s="499"/>
    </row>
    <row r="255" spans="54:74">
      <c r="BB255" s="407"/>
      <c r="BC255" s="407"/>
      <c r="BD255" s="409"/>
      <c r="BE255" s="91"/>
      <c r="BF255" s="91"/>
      <c r="BG255" s="91"/>
      <c r="BH255" s="88">
        <f t="shared" ca="1" si="14"/>
        <v>46307</v>
      </c>
      <c r="BI255" s="206" t="str">
        <f t="shared" ca="1" si="15"/>
        <v/>
      </c>
      <c r="BJ255" s="501" t="str">
        <f t="shared" ca="1" si="13"/>
        <v/>
      </c>
      <c r="BK255" s="91"/>
      <c r="BL255" s="91"/>
      <c r="BM255" s="91"/>
      <c r="BN255" s="91"/>
      <c r="BO255" s="91"/>
      <c r="BP255" s="91"/>
      <c r="BQ255" s="91"/>
      <c r="BR255" s="91"/>
      <c r="BS255" s="91"/>
      <c r="BT255" s="499"/>
      <c r="BU255" s="499"/>
      <c r="BV255" s="499"/>
    </row>
    <row r="256" spans="54:74">
      <c r="BB256" s="407"/>
      <c r="BC256" s="407"/>
      <c r="BD256" s="409"/>
      <c r="BE256" s="91"/>
      <c r="BF256" s="91"/>
      <c r="BG256" s="91"/>
      <c r="BH256" s="88">
        <f t="shared" ca="1" si="14"/>
        <v>46308</v>
      </c>
      <c r="BI256" s="206">
        <f t="shared" ca="1" si="15"/>
        <v>1</v>
      </c>
      <c r="BJ256" s="501">
        <f t="shared" ca="1" si="13"/>
        <v>46308</v>
      </c>
      <c r="BK256" s="91"/>
      <c r="BL256" s="91"/>
      <c r="BM256" s="91"/>
      <c r="BN256" s="91"/>
      <c r="BO256" s="91"/>
      <c r="BP256" s="91"/>
      <c r="BQ256" s="91"/>
      <c r="BR256" s="91"/>
      <c r="BS256" s="91"/>
      <c r="BT256" s="499"/>
      <c r="BU256" s="499"/>
      <c r="BV256" s="499"/>
    </row>
    <row r="257" spans="54:74">
      <c r="BB257" s="407"/>
      <c r="BC257" s="407"/>
      <c r="BD257" s="409"/>
      <c r="BE257" s="91"/>
      <c r="BF257" s="91"/>
      <c r="BG257" s="91"/>
      <c r="BH257" s="88">
        <f t="shared" ca="1" si="14"/>
        <v>46309</v>
      </c>
      <c r="BI257" s="206">
        <f t="shared" ca="1" si="15"/>
        <v>1</v>
      </c>
      <c r="BJ257" s="501">
        <f t="shared" ca="1" si="13"/>
        <v>46309</v>
      </c>
      <c r="BK257" s="91"/>
      <c r="BL257" s="91"/>
      <c r="BM257" s="91"/>
      <c r="BN257" s="91"/>
      <c r="BO257" s="91"/>
      <c r="BP257" s="91"/>
      <c r="BQ257" s="91"/>
      <c r="BR257" s="91"/>
      <c r="BS257" s="91"/>
      <c r="BT257" s="499"/>
      <c r="BU257" s="499"/>
      <c r="BV257" s="499"/>
    </row>
    <row r="258" spans="54:74">
      <c r="BB258" s="407"/>
      <c r="BC258" s="407"/>
      <c r="BD258" s="409"/>
      <c r="BE258" s="91"/>
      <c r="BF258" s="91"/>
      <c r="BG258" s="91"/>
      <c r="BH258" s="88">
        <f t="shared" ca="1" si="14"/>
        <v>46310</v>
      </c>
      <c r="BI258" s="206">
        <f t="shared" ca="1" si="15"/>
        <v>1</v>
      </c>
      <c r="BJ258" s="501">
        <f t="shared" ca="1" si="13"/>
        <v>46310</v>
      </c>
      <c r="BK258" s="91"/>
      <c r="BL258" s="91"/>
      <c r="BM258" s="91"/>
      <c r="BN258" s="91"/>
      <c r="BO258" s="91"/>
      <c r="BP258" s="91"/>
      <c r="BQ258" s="91"/>
      <c r="BR258" s="91"/>
      <c r="BS258" s="91"/>
      <c r="BT258" s="499"/>
      <c r="BU258" s="499"/>
      <c r="BV258" s="499"/>
    </row>
    <row r="259" spans="54:74">
      <c r="BB259" s="407"/>
      <c r="BC259" s="407"/>
      <c r="BD259" s="409"/>
      <c r="BE259" s="91"/>
      <c r="BF259" s="91"/>
      <c r="BG259" s="91"/>
      <c r="BH259" s="88">
        <f t="shared" ca="1" si="14"/>
        <v>46311</v>
      </c>
      <c r="BI259" s="206">
        <f t="shared" ca="1" si="15"/>
        <v>1</v>
      </c>
      <c r="BJ259" s="501">
        <f t="shared" ca="1" si="13"/>
        <v>46311</v>
      </c>
      <c r="BK259" s="91"/>
      <c r="BL259" s="91"/>
      <c r="BM259" s="91"/>
      <c r="BN259" s="91"/>
      <c r="BO259" s="91"/>
      <c r="BP259" s="91"/>
      <c r="BQ259" s="91"/>
      <c r="BR259" s="91"/>
      <c r="BS259" s="91"/>
      <c r="BT259" s="499"/>
      <c r="BU259" s="499"/>
      <c r="BV259" s="499"/>
    </row>
    <row r="260" spans="54:74">
      <c r="BB260" s="407"/>
      <c r="BC260" s="407"/>
      <c r="BD260" s="409"/>
      <c r="BE260" s="91"/>
      <c r="BF260" s="91"/>
      <c r="BG260" s="91"/>
      <c r="BH260" s="88">
        <f t="shared" ca="1" si="14"/>
        <v>46312</v>
      </c>
      <c r="BI260" s="206">
        <f t="shared" ca="1" si="15"/>
        <v>1</v>
      </c>
      <c r="BJ260" s="501">
        <f t="shared" ca="1" si="13"/>
        <v>46312</v>
      </c>
      <c r="BK260" s="91"/>
      <c r="BL260" s="91"/>
      <c r="BM260" s="91"/>
      <c r="BN260" s="91"/>
      <c r="BO260" s="91"/>
      <c r="BP260" s="91"/>
      <c r="BQ260" s="91"/>
      <c r="BR260" s="91"/>
      <c r="BS260" s="91"/>
      <c r="BT260" s="499"/>
      <c r="BU260" s="499"/>
      <c r="BV260" s="499"/>
    </row>
    <row r="261" spans="54:74">
      <c r="BB261" s="407"/>
      <c r="BC261" s="407"/>
      <c r="BD261" s="409"/>
      <c r="BE261" s="91"/>
      <c r="BF261" s="91"/>
      <c r="BG261" s="91"/>
      <c r="BH261" s="88">
        <f t="shared" ca="1" si="14"/>
        <v>46313</v>
      </c>
      <c r="BI261" s="206">
        <f t="shared" ca="1" si="15"/>
        <v>1</v>
      </c>
      <c r="BJ261" s="501">
        <f t="shared" ca="1" si="13"/>
        <v>46313</v>
      </c>
      <c r="BK261" s="91"/>
      <c r="BL261" s="91"/>
      <c r="BM261" s="91"/>
      <c r="BN261" s="91"/>
      <c r="BO261" s="91"/>
      <c r="BP261" s="91"/>
      <c r="BQ261" s="91"/>
      <c r="BR261" s="91"/>
      <c r="BS261" s="91"/>
      <c r="BT261" s="499"/>
      <c r="BU261" s="499"/>
      <c r="BV261" s="499"/>
    </row>
    <row r="262" spans="54:74">
      <c r="BB262" s="407"/>
      <c r="BC262" s="407"/>
      <c r="BD262" s="409"/>
      <c r="BE262" s="91"/>
      <c r="BF262" s="91"/>
      <c r="BG262" s="91"/>
      <c r="BH262" s="88">
        <f t="shared" ca="1" si="14"/>
        <v>46314</v>
      </c>
      <c r="BI262" s="206" t="str">
        <f t="shared" ca="1" si="15"/>
        <v/>
      </c>
      <c r="BJ262" s="501" t="str">
        <f t="shared" ca="1" si="13"/>
        <v/>
      </c>
      <c r="BK262" s="91"/>
      <c r="BL262" s="91"/>
      <c r="BM262" s="91"/>
      <c r="BN262" s="91"/>
      <c r="BO262" s="91"/>
      <c r="BP262" s="91"/>
      <c r="BQ262" s="91"/>
      <c r="BR262" s="91"/>
      <c r="BS262" s="91"/>
      <c r="BT262" s="499"/>
      <c r="BU262" s="499"/>
      <c r="BV262" s="499"/>
    </row>
    <row r="263" spans="54:74">
      <c r="BB263" s="407"/>
      <c r="BC263" s="407"/>
      <c r="BD263" s="409"/>
      <c r="BE263" s="91"/>
      <c r="BF263" s="91"/>
      <c r="BG263" s="91"/>
      <c r="BH263" s="88">
        <f t="shared" ca="1" si="14"/>
        <v>46315</v>
      </c>
      <c r="BI263" s="206">
        <f t="shared" ca="1" si="15"/>
        <v>1</v>
      </c>
      <c r="BJ263" s="501">
        <f t="shared" ca="1" si="13"/>
        <v>46315</v>
      </c>
      <c r="BK263" s="91"/>
      <c r="BL263" s="91"/>
      <c r="BM263" s="91"/>
      <c r="BN263" s="91"/>
      <c r="BO263" s="91"/>
      <c r="BP263" s="91"/>
      <c r="BQ263" s="91"/>
      <c r="BR263" s="91"/>
      <c r="BS263" s="91"/>
      <c r="BT263" s="499"/>
      <c r="BU263" s="499"/>
      <c r="BV263" s="499"/>
    </row>
    <row r="264" spans="54:74">
      <c r="BB264" s="407"/>
      <c r="BC264" s="407"/>
      <c r="BD264" s="409"/>
      <c r="BE264" s="91"/>
      <c r="BF264" s="91"/>
      <c r="BG264" s="91"/>
      <c r="BH264" s="88">
        <f t="shared" ca="1" si="14"/>
        <v>46316</v>
      </c>
      <c r="BI264" s="206">
        <f t="shared" ca="1" si="15"/>
        <v>1</v>
      </c>
      <c r="BJ264" s="501">
        <f t="shared" ca="1" si="13"/>
        <v>46316</v>
      </c>
      <c r="BK264" s="91"/>
      <c r="BL264" s="91"/>
      <c r="BM264" s="91"/>
      <c r="BN264" s="91"/>
      <c r="BO264" s="91"/>
      <c r="BP264" s="91"/>
      <c r="BQ264" s="91"/>
      <c r="BR264" s="91"/>
      <c r="BS264" s="91"/>
      <c r="BT264" s="499"/>
      <c r="BU264" s="499"/>
      <c r="BV264" s="499"/>
    </row>
    <row r="265" spans="54:74">
      <c r="BB265" s="407"/>
      <c r="BC265" s="407"/>
      <c r="BD265" s="409"/>
      <c r="BE265" s="91"/>
      <c r="BF265" s="91"/>
      <c r="BG265" s="91"/>
      <c r="BH265" s="88">
        <f t="shared" ca="1" si="14"/>
        <v>46317</v>
      </c>
      <c r="BI265" s="206">
        <f t="shared" ca="1" si="15"/>
        <v>1</v>
      </c>
      <c r="BJ265" s="501">
        <f t="shared" ca="1" si="13"/>
        <v>46317</v>
      </c>
      <c r="BK265" s="91"/>
      <c r="BL265" s="91"/>
      <c r="BM265" s="91"/>
      <c r="BN265" s="91"/>
      <c r="BO265" s="91"/>
      <c r="BP265" s="91"/>
      <c r="BQ265" s="91"/>
      <c r="BR265" s="91"/>
      <c r="BS265" s="91"/>
      <c r="BT265" s="499"/>
      <c r="BU265" s="499"/>
      <c r="BV265" s="499"/>
    </row>
    <row r="266" spans="54:74">
      <c r="BB266" s="407"/>
      <c r="BC266" s="407"/>
      <c r="BD266" s="409"/>
      <c r="BE266" s="91"/>
      <c r="BF266" s="91"/>
      <c r="BG266" s="91"/>
      <c r="BH266" s="88">
        <f t="shared" ca="1" si="14"/>
        <v>46318</v>
      </c>
      <c r="BI266" s="206">
        <f t="shared" ca="1" si="15"/>
        <v>1</v>
      </c>
      <c r="BJ266" s="501">
        <f t="shared" ca="1" si="13"/>
        <v>46318</v>
      </c>
      <c r="BK266" s="91"/>
      <c r="BL266" s="91"/>
      <c r="BM266" s="91"/>
      <c r="BN266" s="91"/>
      <c r="BO266" s="91"/>
      <c r="BP266" s="91"/>
      <c r="BQ266" s="91"/>
      <c r="BR266" s="91"/>
      <c r="BS266" s="91"/>
      <c r="BT266" s="499"/>
      <c r="BU266" s="499"/>
      <c r="BV266" s="499"/>
    </row>
    <row r="267" spans="54:74">
      <c r="BB267" s="407"/>
      <c r="BC267" s="407"/>
      <c r="BD267" s="409"/>
      <c r="BE267" s="91"/>
      <c r="BF267" s="91"/>
      <c r="BG267" s="91"/>
      <c r="BH267" s="88">
        <f t="shared" ca="1" si="14"/>
        <v>46319</v>
      </c>
      <c r="BI267" s="206">
        <f t="shared" ca="1" si="15"/>
        <v>1</v>
      </c>
      <c r="BJ267" s="501">
        <f t="shared" ca="1" si="13"/>
        <v>46319</v>
      </c>
      <c r="BK267" s="91"/>
      <c r="BL267" s="91"/>
      <c r="BM267" s="91"/>
      <c r="BN267" s="91"/>
      <c r="BO267" s="91"/>
      <c r="BP267" s="91"/>
      <c r="BQ267" s="91"/>
      <c r="BR267" s="91"/>
      <c r="BS267" s="91"/>
      <c r="BT267" s="499"/>
      <c r="BU267" s="499"/>
      <c r="BV267" s="499"/>
    </row>
    <row r="268" spans="54:74">
      <c r="BB268" s="407"/>
      <c r="BC268" s="407"/>
      <c r="BD268" s="409"/>
      <c r="BE268" s="91"/>
      <c r="BF268" s="91"/>
      <c r="BG268" s="91"/>
      <c r="BH268" s="88">
        <f t="shared" ca="1" si="14"/>
        <v>46320</v>
      </c>
      <c r="BI268" s="206">
        <f t="shared" ca="1" si="15"/>
        <v>1</v>
      </c>
      <c r="BJ268" s="501">
        <f t="shared" ca="1" si="13"/>
        <v>46320</v>
      </c>
      <c r="BK268" s="91"/>
      <c r="BL268" s="91"/>
      <c r="BM268" s="91"/>
      <c r="BN268" s="91"/>
      <c r="BO268" s="91"/>
      <c r="BP268" s="91"/>
      <c r="BQ268" s="91"/>
      <c r="BR268" s="91"/>
      <c r="BS268" s="91"/>
      <c r="BT268" s="499"/>
      <c r="BU268" s="499"/>
      <c r="BV268" s="499"/>
    </row>
    <row r="269" spans="54:74">
      <c r="BB269" s="407"/>
      <c r="BC269" s="407"/>
      <c r="BD269" s="409"/>
      <c r="BE269" s="91"/>
      <c r="BF269" s="91"/>
      <c r="BG269" s="91"/>
      <c r="BH269" s="88">
        <f t="shared" ca="1" si="14"/>
        <v>46321</v>
      </c>
      <c r="BI269" s="206" t="str">
        <f t="shared" ca="1" si="15"/>
        <v/>
      </c>
      <c r="BJ269" s="501" t="str">
        <f t="shared" ca="1" si="13"/>
        <v/>
      </c>
      <c r="BK269" s="91"/>
      <c r="BL269" s="91"/>
      <c r="BM269" s="91"/>
      <c r="BN269" s="91"/>
      <c r="BO269" s="91"/>
      <c r="BP269" s="91"/>
      <c r="BQ269" s="91"/>
      <c r="BR269" s="91"/>
      <c r="BS269" s="91"/>
      <c r="BT269" s="499"/>
      <c r="BU269" s="499"/>
      <c r="BV269" s="499"/>
    </row>
    <row r="270" spans="54:74">
      <c r="BB270" s="407"/>
      <c r="BC270" s="407"/>
      <c r="BD270" s="409"/>
      <c r="BE270" s="91"/>
      <c r="BF270" s="91"/>
      <c r="BG270" s="91"/>
      <c r="BH270" s="88">
        <f t="shared" ca="1" si="14"/>
        <v>46322</v>
      </c>
      <c r="BI270" s="206">
        <f t="shared" ca="1" si="15"/>
        <v>1</v>
      </c>
      <c r="BJ270" s="501">
        <f t="shared" ca="1" si="13"/>
        <v>46322</v>
      </c>
      <c r="BK270" s="91"/>
      <c r="BL270" s="91"/>
      <c r="BM270" s="91"/>
      <c r="BN270" s="91"/>
      <c r="BO270" s="91"/>
      <c r="BP270" s="91"/>
      <c r="BQ270" s="91"/>
      <c r="BR270" s="91"/>
      <c r="BS270" s="91"/>
      <c r="BT270" s="499"/>
      <c r="BU270" s="499"/>
      <c r="BV270" s="499"/>
    </row>
    <row r="271" spans="54:74">
      <c r="BB271" s="407"/>
      <c r="BC271" s="407"/>
      <c r="BD271" s="409"/>
      <c r="BE271" s="91"/>
      <c r="BF271" s="91"/>
      <c r="BG271" s="91"/>
      <c r="BH271" s="88">
        <f t="shared" ca="1" si="14"/>
        <v>46323</v>
      </c>
      <c r="BI271" s="206">
        <f t="shared" ca="1" si="15"/>
        <v>1</v>
      </c>
      <c r="BJ271" s="501">
        <f t="shared" ca="1" si="13"/>
        <v>46323</v>
      </c>
      <c r="BK271" s="91"/>
      <c r="BL271" s="91"/>
      <c r="BM271" s="91"/>
      <c r="BN271" s="91"/>
      <c r="BO271" s="91"/>
      <c r="BP271" s="91"/>
      <c r="BQ271" s="91"/>
      <c r="BR271" s="91"/>
      <c r="BS271" s="91"/>
      <c r="BT271" s="499"/>
      <c r="BU271" s="499"/>
      <c r="BV271" s="499"/>
    </row>
    <row r="272" spans="54:74">
      <c r="BB272" s="407"/>
      <c r="BC272" s="407"/>
      <c r="BD272" s="409"/>
      <c r="BE272" s="91"/>
      <c r="BF272" s="91"/>
      <c r="BG272" s="91"/>
      <c r="BH272" s="88">
        <f t="shared" ca="1" si="14"/>
        <v>46324</v>
      </c>
      <c r="BI272" s="206">
        <f t="shared" ca="1" si="15"/>
        <v>1</v>
      </c>
      <c r="BJ272" s="501">
        <f t="shared" ca="1" si="13"/>
        <v>46324</v>
      </c>
      <c r="BK272" s="91"/>
      <c r="BL272" s="91"/>
      <c r="BM272" s="91"/>
      <c r="BN272" s="91"/>
      <c r="BO272" s="91"/>
      <c r="BP272" s="91"/>
      <c r="BQ272" s="91"/>
      <c r="BR272" s="91"/>
      <c r="BS272" s="91"/>
      <c r="BT272" s="499"/>
      <c r="BU272" s="499"/>
      <c r="BV272" s="499"/>
    </row>
    <row r="273" spans="54:74">
      <c r="BB273" s="407"/>
      <c r="BC273" s="407"/>
      <c r="BD273" s="409"/>
      <c r="BE273" s="91"/>
      <c r="BF273" s="91"/>
      <c r="BG273" s="91"/>
      <c r="BH273" s="88">
        <f t="shared" ca="1" si="14"/>
        <v>46325</v>
      </c>
      <c r="BI273" s="206">
        <f t="shared" ca="1" si="15"/>
        <v>1</v>
      </c>
      <c r="BJ273" s="501">
        <f t="shared" ca="1" si="13"/>
        <v>46325</v>
      </c>
      <c r="BK273" s="91"/>
      <c r="BL273" s="91"/>
      <c r="BM273" s="91"/>
      <c r="BN273" s="91"/>
      <c r="BO273" s="91"/>
      <c r="BP273" s="91"/>
      <c r="BQ273" s="91"/>
      <c r="BR273" s="91"/>
      <c r="BS273" s="91"/>
      <c r="BT273" s="499"/>
      <c r="BU273" s="499"/>
      <c r="BV273" s="499"/>
    </row>
    <row r="274" spans="54:74">
      <c r="BB274" s="407"/>
      <c r="BC274" s="407"/>
      <c r="BD274" s="409"/>
      <c r="BE274" s="91"/>
      <c r="BF274" s="91"/>
      <c r="BG274" s="91"/>
      <c r="BH274" s="88">
        <f t="shared" ca="1" si="14"/>
        <v>46326</v>
      </c>
      <c r="BI274" s="206">
        <f t="shared" ca="1" si="15"/>
        <v>1</v>
      </c>
      <c r="BJ274" s="501">
        <f t="shared" ca="1" si="13"/>
        <v>46326</v>
      </c>
      <c r="BK274" s="91"/>
      <c r="BL274" s="91"/>
      <c r="BM274" s="91"/>
      <c r="BN274" s="91"/>
      <c r="BO274" s="91"/>
      <c r="BP274" s="91"/>
      <c r="BQ274" s="91"/>
      <c r="BR274" s="91"/>
      <c r="BS274" s="91"/>
      <c r="BT274" s="499"/>
      <c r="BU274" s="499"/>
      <c r="BV274" s="499"/>
    </row>
    <row r="275" spans="54:74">
      <c r="BB275" s="407"/>
      <c r="BC275" s="407"/>
      <c r="BD275" s="409"/>
      <c r="BE275" s="91"/>
      <c r="BF275" s="91"/>
      <c r="BG275" s="91"/>
      <c r="BH275" s="88">
        <f t="shared" ca="1" si="14"/>
        <v>46327</v>
      </c>
      <c r="BI275" s="206">
        <f t="shared" ca="1" si="15"/>
        <v>1</v>
      </c>
      <c r="BJ275" s="501">
        <f t="shared" ca="1" si="13"/>
        <v>46327</v>
      </c>
      <c r="BK275" s="91"/>
      <c r="BL275" s="91"/>
      <c r="BM275" s="91"/>
      <c r="BN275" s="91"/>
      <c r="BO275" s="91"/>
      <c r="BP275" s="91"/>
      <c r="BQ275" s="91"/>
      <c r="BR275" s="91"/>
      <c r="BS275" s="91"/>
      <c r="BT275" s="499"/>
      <c r="BU275" s="499"/>
      <c r="BV275" s="499"/>
    </row>
    <row r="276" spans="54:74">
      <c r="BB276" s="407"/>
      <c r="BC276" s="407"/>
      <c r="BD276" s="409"/>
      <c r="BE276" s="91"/>
      <c r="BF276" s="91"/>
      <c r="BG276" s="91"/>
      <c r="BH276" s="88">
        <f t="shared" ca="1" si="14"/>
        <v>46328</v>
      </c>
      <c r="BI276" s="206" t="str">
        <f t="shared" ca="1" si="15"/>
        <v/>
      </c>
      <c r="BJ276" s="501" t="str">
        <f t="shared" ca="1" si="13"/>
        <v/>
      </c>
      <c r="BK276" s="91"/>
      <c r="BL276" s="91"/>
      <c r="BM276" s="91"/>
      <c r="BN276" s="91"/>
      <c r="BO276" s="91"/>
      <c r="BP276" s="91"/>
      <c r="BQ276" s="91"/>
      <c r="BR276" s="91"/>
      <c r="BS276" s="91"/>
      <c r="BT276" s="499"/>
      <c r="BU276" s="499"/>
      <c r="BV276" s="499"/>
    </row>
    <row r="277" spans="54:74">
      <c r="BB277" s="407"/>
      <c r="BC277" s="407"/>
      <c r="BD277" s="409"/>
      <c r="BE277" s="91"/>
      <c r="BF277" s="91"/>
      <c r="BG277" s="91"/>
      <c r="BH277" s="88">
        <f t="shared" ca="1" si="14"/>
        <v>46329</v>
      </c>
      <c r="BI277" s="206">
        <f t="shared" ca="1" si="15"/>
        <v>1</v>
      </c>
      <c r="BJ277" s="501">
        <f t="shared" ca="1" si="13"/>
        <v>46329</v>
      </c>
      <c r="BK277" s="91"/>
      <c r="BL277" s="91"/>
      <c r="BM277" s="91"/>
      <c r="BN277" s="91"/>
      <c r="BO277" s="91"/>
      <c r="BP277" s="91"/>
      <c r="BQ277" s="91"/>
      <c r="BR277" s="91"/>
      <c r="BS277" s="91"/>
      <c r="BT277" s="499"/>
      <c r="BU277" s="499"/>
      <c r="BV277" s="499"/>
    </row>
    <row r="278" spans="54:74">
      <c r="BB278" s="407"/>
      <c r="BC278" s="407"/>
      <c r="BD278" s="409"/>
      <c r="BE278" s="91"/>
      <c r="BF278" s="91"/>
      <c r="BG278" s="91"/>
      <c r="BH278" s="88">
        <f t="shared" ca="1" si="14"/>
        <v>46330</v>
      </c>
      <c r="BI278" s="206">
        <f t="shared" ca="1" si="15"/>
        <v>1</v>
      </c>
      <c r="BJ278" s="501">
        <f t="shared" ca="1" si="13"/>
        <v>46330</v>
      </c>
      <c r="BK278" s="91"/>
      <c r="BL278" s="91"/>
      <c r="BM278" s="91"/>
      <c r="BN278" s="91"/>
      <c r="BO278" s="91"/>
      <c r="BP278" s="91"/>
      <c r="BQ278" s="91"/>
      <c r="BR278" s="91"/>
      <c r="BS278" s="91"/>
      <c r="BT278" s="499"/>
      <c r="BU278" s="499"/>
      <c r="BV278" s="499"/>
    </row>
    <row r="279" spans="54:74">
      <c r="BB279" s="407"/>
      <c r="BC279" s="407"/>
      <c r="BD279" s="409"/>
      <c r="BE279" s="91"/>
      <c r="BF279" s="91"/>
      <c r="BG279" s="91"/>
      <c r="BH279" s="88">
        <f t="shared" ca="1" si="14"/>
        <v>46331</v>
      </c>
      <c r="BI279" s="206">
        <f t="shared" ca="1" si="15"/>
        <v>1</v>
      </c>
      <c r="BJ279" s="501">
        <f t="shared" ca="1" si="13"/>
        <v>46331</v>
      </c>
      <c r="BK279" s="91"/>
      <c r="BL279" s="91"/>
      <c r="BM279" s="91"/>
      <c r="BN279" s="91"/>
      <c r="BO279" s="91"/>
      <c r="BP279" s="91"/>
      <c r="BQ279" s="91"/>
      <c r="BR279" s="91"/>
      <c r="BS279" s="91"/>
      <c r="BT279" s="499"/>
      <c r="BU279" s="499"/>
      <c r="BV279" s="499"/>
    </row>
    <row r="280" spans="54:74">
      <c r="BB280" s="407"/>
      <c r="BC280" s="407"/>
      <c r="BD280" s="409"/>
      <c r="BE280" s="91"/>
      <c r="BF280" s="91"/>
      <c r="BG280" s="91"/>
      <c r="BH280" s="88">
        <f t="shared" ca="1" si="14"/>
        <v>46332</v>
      </c>
      <c r="BI280" s="206">
        <f t="shared" ca="1" si="15"/>
        <v>1</v>
      </c>
      <c r="BJ280" s="501">
        <f t="shared" ca="1" si="13"/>
        <v>46332</v>
      </c>
      <c r="BK280" s="91"/>
      <c r="BL280" s="91"/>
      <c r="BM280" s="91"/>
      <c r="BN280" s="91"/>
      <c r="BO280" s="91"/>
      <c r="BP280" s="91"/>
      <c r="BQ280" s="91"/>
      <c r="BR280" s="91"/>
      <c r="BS280" s="91"/>
      <c r="BT280" s="499"/>
      <c r="BU280" s="499"/>
      <c r="BV280" s="499"/>
    </row>
    <row r="281" spans="54:74">
      <c r="BB281" s="407"/>
      <c r="BC281" s="407"/>
      <c r="BD281" s="409"/>
      <c r="BE281" s="91"/>
      <c r="BF281" s="91"/>
      <c r="BG281" s="91"/>
      <c r="BH281" s="88">
        <f t="shared" ca="1" si="14"/>
        <v>46333</v>
      </c>
      <c r="BI281" s="206">
        <f t="shared" ca="1" si="15"/>
        <v>1</v>
      </c>
      <c r="BJ281" s="501">
        <f t="shared" ca="1" si="13"/>
        <v>46333</v>
      </c>
      <c r="BK281" s="91"/>
      <c r="BL281" s="91"/>
      <c r="BM281" s="91"/>
      <c r="BN281" s="91"/>
      <c r="BO281" s="91"/>
      <c r="BP281" s="91"/>
      <c r="BQ281" s="91"/>
      <c r="BR281" s="91"/>
      <c r="BS281" s="91"/>
      <c r="BT281" s="499"/>
      <c r="BU281" s="499"/>
      <c r="BV281" s="499"/>
    </row>
    <row r="282" spans="54:74">
      <c r="BB282" s="407"/>
      <c r="BC282" s="407"/>
      <c r="BD282" s="409"/>
      <c r="BE282" s="91"/>
      <c r="BF282" s="91"/>
      <c r="BG282" s="91"/>
      <c r="BH282" s="88">
        <f t="shared" ca="1" si="14"/>
        <v>46334</v>
      </c>
      <c r="BI282" s="206">
        <f t="shared" ca="1" si="15"/>
        <v>1</v>
      </c>
      <c r="BJ282" s="501">
        <f t="shared" ca="1" si="13"/>
        <v>46334</v>
      </c>
      <c r="BK282" s="91"/>
      <c r="BL282" s="91"/>
      <c r="BM282" s="91"/>
      <c r="BN282" s="91"/>
      <c r="BO282" s="91"/>
      <c r="BP282" s="91"/>
      <c r="BQ282" s="91"/>
      <c r="BR282" s="91"/>
      <c r="BS282" s="91"/>
      <c r="BT282" s="499"/>
      <c r="BU282" s="499"/>
      <c r="BV282" s="499"/>
    </row>
    <row r="283" spans="54:74">
      <c r="BB283" s="407"/>
      <c r="BC283" s="407"/>
      <c r="BD283" s="409"/>
      <c r="BE283" s="91"/>
      <c r="BF283" s="91"/>
      <c r="BG283" s="91"/>
      <c r="BH283" s="88">
        <f t="shared" ca="1" si="14"/>
        <v>46335</v>
      </c>
      <c r="BI283" s="206" t="str">
        <f t="shared" ca="1" si="15"/>
        <v/>
      </c>
      <c r="BJ283" s="501" t="str">
        <f t="shared" ca="1" si="13"/>
        <v/>
      </c>
      <c r="BK283" s="91"/>
      <c r="BL283" s="91"/>
      <c r="BM283" s="91"/>
      <c r="BN283" s="91"/>
      <c r="BO283" s="91"/>
      <c r="BP283" s="91"/>
      <c r="BQ283" s="91"/>
      <c r="BR283" s="91"/>
      <c r="BS283" s="91"/>
      <c r="BT283" s="499"/>
      <c r="BU283" s="499"/>
      <c r="BV283" s="499"/>
    </row>
    <row r="284" spans="54:74">
      <c r="BB284" s="407"/>
      <c r="BC284" s="407"/>
      <c r="BD284" s="409"/>
      <c r="BE284" s="91"/>
      <c r="BF284" s="91"/>
      <c r="BG284" s="91"/>
      <c r="BH284" s="88">
        <f t="shared" ca="1" si="14"/>
        <v>46336</v>
      </c>
      <c r="BI284" s="206">
        <f t="shared" ca="1" si="15"/>
        <v>1</v>
      </c>
      <c r="BJ284" s="501">
        <f t="shared" ca="1" si="13"/>
        <v>46336</v>
      </c>
      <c r="BK284" s="91"/>
      <c r="BL284" s="91"/>
      <c r="BM284" s="91"/>
      <c r="BN284" s="91"/>
      <c r="BO284" s="91"/>
      <c r="BP284" s="91"/>
      <c r="BQ284" s="91"/>
      <c r="BR284" s="91"/>
      <c r="BS284" s="91"/>
      <c r="BT284" s="499"/>
      <c r="BU284" s="499"/>
      <c r="BV284" s="499"/>
    </row>
    <row r="285" spans="54:74">
      <c r="BB285" s="407"/>
      <c r="BC285" s="407"/>
      <c r="BD285" s="409"/>
      <c r="BE285" s="91"/>
      <c r="BF285" s="91"/>
      <c r="BG285" s="91"/>
      <c r="BH285" s="88">
        <f t="shared" ca="1" si="14"/>
        <v>46337</v>
      </c>
      <c r="BI285" s="206">
        <f t="shared" ca="1" si="15"/>
        <v>1</v>
      </c>
      <c r="BJ285" s="501">
        <f t="shared" ca="1" si="13"/>
        <v>46337</v>
      </c>
      <c r="BK285" s="91"/>
      <c r="BL285" s="91"/>
      <c r="BM285" s="91"/>
      <c r="BN285" s="91"/>
      <c r="BO285" s="91"/>
      <c r="BP285" s="91"/>
      <c r="BQ285" s="91"/>
      <c r="BR285" s="91"/>
      <c r="BS285" s="91"/>
      <c r="BT285" s="499"/>
      <c r="BU285" s="499"/>
      <c r="BV285" s="499"/>
    </row>
    <row r="286" spans="54:74">
      <c r="BB286" s="407"/>
      <c r="BC286" s="407"/>
      <c r="BD286" s="409"/>
      <c r="BE286" s="91"/>
      <c r="BF286" s="91"/>
      <c r="BG286" s="91"/>
      <c r="BH286" s="88">
        <f t="shared" ca="1" si="14"/>
        <v>46338</v>
      </c>
      <c r="BI286" s="206">
        <f t="shared" ca="1" si="15"/>
        <v>1</v>
      </c>
      <c r="BJ286" s="501">
        <f t="shared" ca="1" si="13"/>
        <v>46338</v>
      </c>
      <c r="BK286" s="91"/>
      <c r="BL286" s="91"/>
      <c r="BM286" s="91"/>
      <c r="BN286" s="91"/>
      <c r="BO286" s="91"/>
      <c r="BP286" s="91"/>
      <c r="BQ286" s="91"/>
      <c r="BR286" s="91"/>
      <c r="BS286" s="91"/>
      <c r="BT286" s="499"/>
      <c r="BU286" s="499"/>
      <c r="BV286" s="499"/>
    </row>
    <row r="287" spans="54:74">
      <c r="BB287" s="407"/>
      <c r="BC287" s="407"/>
      <c r="BD287" s="409"/>
      <c r="BE287" s="91"/>
      <c r="BF287" s="91"/>
      <c r="BG287" s="91"/>
      <c r="BH287" s="88">
        <f t="shared" ca="1" si="14"/>
        <v>46339</v>
      </c>
      <c r="BI287" s="206">
        <f t="shared" ca="1" si="15"/>
        <v>1</v>
      </c>
      <c r="BJ287" s="501">
        <f t="shared" ca="1" si="13"/>
        <v>46339</v>
      </c>
      <c r="BK287" s="91"/>
      <c r="BL287" s="91"/>
      <c r="BM287" s="91"/>
      <c r="BN287" s="91"/>
      <c r="BO287" s="91"/>
      <c r="BP287" s="91"/>
      <c r="BQ287" s="91"/>
      <c r="BR287" s="91"/>
      <c r="BS287" s="91"/>
      <c r="BT287" s="499"/>
      <c r="BU287" s="499"/>
      <c r="BV287" s="499"/>
    </row>
    <row r="288" spans="54:74">
      <c r="BB288" s="407"/>
      <c r="BC288" s="407"/>
      <c r="BD288" s="409"/>
      <c r="BE288" s="91"/>
      <c r="BF288" s="91"/>
      <c r="BG288" s="91"/>
      <c r="BH288" s="88">
        <f t="shared" ca="1" si="14"/>
        <v>46340</v>
      </c>
      <c r="BI288" s="206">
        <f t="shared" ca="1" si="15"/>
        <v>1</v>
      </c>
      <c r="BJ288" s="501">
        <f t="shared" ca="1" si="13"/>
        <v>46340</v>
      </c>
      <c r="BK288" s="91"/>
      <c r="BL288" s="91"/>
      <c r="BM288" s="91"/>
      <c r="BN288" s="91"/>
      <c r="BO288" s="91"/>
      <c r="BP288" s="91"/>
      <c r="BQ288" s="91"/>
      <c r="BR288" s="91"/>
      <c r="BS288" s="91"/>
      <c r="BT288" s="499"/>
      <c r="BU288" s="499"/>
      <c r="BV288" s="499"/>
    </row>
    <row r="289" spans="54:74">
      <c r="BB289" s="407"/>
      <c r="BC289" s="407"/>
      <c r="BD289" s="409"/>
      <c r="BE289" s="91"/>
      <c r="BF289" s="91"/>
      <c r="BG289" s="91"/>
      <c r="BH289" s="88">
        <f t="shared" ca="1" si="14"/>
        <v>46341</v>
      </c>
      <c r="BI289" s="206">
        <f t="shared" ca="1" si="15"/>
        <v>1</v>
      </c>
      <c r="BJ289" s="501">
        <f t="shared" ca="1" si="13"/>
        <v>46341</v>
      </c>
      <c r="BK289" s="91"/>
      <c r="BL289" s="91"/>
      <c r="BM289" s="91"/>
      <c r="BN289" s="91"/>
      <c r="BO289" s="91"/>
      <c r="BP289" s="91"/>
      <c r="BQ289" s="91"/>
      <c r="BR289" s="91"/>
      <c r="BS289" s="91"/>
      <c r="BT289" s="499"/>
      <c r="BU289" s="499"/>
      <c r="BV289" s="499"/>
    </row>
    <row r="290" spans="54:74">
      <c r="BB290" s="407"/>
      <c r="BC290" s="407"/>
      <c r="BD290" s="409"/>
      <c r="BE290" s="91"/>
      <c r="BF290" s="91"/>
      <c r="BG290" s="91"/>
      <c r="BH290" s="88">
        <f t="shared" ca="1" si="14"/>
        <v>46342</v>
      </c>
      <c r="BI290" s="206" t="str">
        <f t="shared" ca="1" si="15"/>
        <v/>
      </c>
      <c r="BJ290" s="501" t="str">
        <f t="shared" ca="1" si="13"/>
        <v/>
      </c>
      <c r="BK290" s="91"/>
      <c r="BL290" s="91"/>
      <c r="BM290" s="91"/>
      <c r="BN290" s="91"/>
      <c r="BO290" s="91"/>
      <c r="BP290" s="91"/>
      <c r="BQ290" s="91"/>
      <c r="BR290" s="91"/>
      <c r="BS290" s="91"/>
      <c r="BT290" s="499"/>
      <c r="BU290" s="499"/>
      <c r="BV290" s="499"/>
    </row>
    <row r="291" spans="54:74">
      <c r="BB291" s="407"/>
      <c r="BC291" s="407"/>
      <c r="BD291" s="409"/>
      <c r="BE291" s="91"/>
      <c r="BF291" s="91"/>
      <c r="BG291" s="91"/>
      <c r="BH291" s="88">
        <f t="shared" ca="1" si="14"/>
        <v>46343</v>
      </c>
      <c r="BI291" s="206">
        <f t="shared" ca="1" si="15"/>
        <v>1</v>
      </c>
      <c r="BJ291" s="501">
        <f t="shared" ca="1" si="13"/>
        <v>46343</v>
      </c>
      <c r="BK291" s="91"/>
      <c r="BL291" s="91"/>
      <c r="BM291" s="91"/>
      <c r="BN291" s="91"/>
      <c r="BO291" s="91"/>
      <c r="BP291" s="91"/>
      <c r="BQ291" s="91"/>
      <c r="BR291" s="91"/>
      <c r="BS291" s="91"/>
      <c r="BT291" s="499"/>
      <c r="BU291" s="499"/>
      <c r="BV291" s="499"/>
    </row>
    <row r="292" spans="54:74">
      <c r="BB292" s="407"/>
      <c r="BC292" s="407"/>
      <c r="BD292" s="409"/>
      <c r="BE292" s="91"/>
      <c r="BF292" s="91"/>
      <c r="BG292" s="91"/>
      <c r="BH292" s="88">
        <f t="shared" ca="1" si="14"/>
        <v>46344</v>
      </c>
      <c r="BI292" s="206">
        <f t="shared" ca="1" si="15"/>
        <v>1</v>
      </c>
      <c r="BJ292" s="501">
        <f t="shared" ca="1" si="13"/>
        <v>46344</v>
      </c>
      <c r="BK292" s="91"/>
      <c r="BL292" s="91"/>
      <c r="BM292" s="91"/>
      <c r="BN292" s="91"/>
      <c r="BO292" s="91"/>
      <c r="BP292" s="91"/>
      <c r="BQ292" s="91"/>
      <c r="BR292" s="91"/>
      <c r="BS292" s="91"/>
      <c r="BT292" s="499"/>
      <c r="BU292" s="499"/>
      <c r="BV292" s="499"/>
    </row>
    <row r="293" spans="54:74">
      <c r="BB293" s="407"/>
      <c r="BC293" s="407"/>
      <c r="BD293" s="409"/>
      <c r="BE293" s="91"/>
      <c r="BF293" s="91"/>
      <c r="BG293" s="91"/>
      <c r="BH293" s="88">
        <f t="shared" ca="1" si="14"/>
        <v>46345</v>
      </c>
      <c r="BI293" s="206">
        <f t="shared" ca="1" si="15"/>
        <v>1</v>
      </c>
      <c r="BJ293" s="501">
        <f t="shared" ref="BJ293:BJ325" ca="1" si="16">IF(BI293=1,BH293,"")</f>
        <v>46345</v>
      </c>
      <c r="BK293" s="91"/>
      <c r="BL293" s="91"/>
      <c r="BM293" s="91"/>
      <c r="BN293" s="91"/>
      <c r="BO293" s="91"/>
      <c r="BP293" s="91"/>
      <c r="BQ293" s="91"/>
      <c r="BR293" s="91"/>
      <c r="BS293" s="91"/>
      <c r="BT293" s="499"/>
      <c r="BU293" s="499"/>
      <c r="BV293" s="499"/>
    </row>
    <row r="294" spans="54:74">
      <c r="BB294" s="407"/>
      <c r="BC294" s="407"/>
      <c r="BD294" s="409"/>
      <c r="BE294" s="91"/>
      <c r="BF294" s="91"/>
      <c r="BG294" s="91"/>
      <c r="BH294" s="88">
        <f t="shared" ca="1" si="14"/>
        <v>46346</v>
      </c>
      <c r="BI294" s="206">
        <f t="shared" ca="1" si="15"/>
        <v>1</v>
      </c>
      <c r="BJ294" s="501">
        <f t="shared" ca="1" si="16"/>
        <v>46346</v>
      </c>
      <c r="BK294" s="91"/>
      <c r="BL294" s="91"/>
      <c r="BM294" s="91"/>
      <c r="BN294" s="91"/>
      <c r="BO294" s="91"/>
      <c r="BP294" s="91"/>
      <c r="BQ294" s="91"/>
      <c r="BR294" s="91"/>
      <c r="BS294" s="91"/>
      <c r="BT294" s="499"/>
      <c r="BU294" s="499"/>
      <c r="BV294" s="499"/>
    </row>
    <row r="295" spans="54:74">
      <c r="BB295" s="407"/>
      <c r="BC295" s="407"/>
      <c r="BD295" s="409"/>
      <c r="BE295" s="91"/>
      <c r="BF295" s="91"/>
      <c r="BG295" s="91"/>
      <c r="BH295" s="88">
        <f t="shared" ca="1" si="14"/>
        <v>46347</v>
      </c>
      <c r="BI295" s="206">
        <f t="shared" ca="1" si="15"/>
        <v>1</v>
      </c>
      <c r="BJ295" s="501">
        <f t="shared" ca="1" si="16"/>
        <v>46347</v>
      </c>
      <c r="BK295" s="91"/>
      <c r="BL295" s="91"/>
      <c r="BM295" s="91"/>
      <c r="BN295" s="91"/>
      <c r="BO295" s="91"/>
      <c r="BP295" s="91"/>
      <c r="BQ295" s="91"/>
      <c r="BR295" s="91"/>
      <c r="BS295" s="91"/>
      <c r="BT295" s="499"/>
      <c r="BU295" s="499"/>
      <c r="BV295" s="499"/>
    </row>
    <row r="296" spans="54:74">
      <c r="BB296" s="407"/>
      <c r="BC296" s="407"/>
      <c r="BD296" s="409"/>
      <c r="BE296" s="91"/>
      <c r="BF296" s="91"/>
      <c r="BG296" s="91"/>
      <c r="BH296" s="88">
        <f t="shared" ca="1" si="14"/>
        <v>46348</v>
      </c>
      <c r="BI296" s="206">
        <f t="shared" ca="1" si="15"/>
        <v>1</v>
      </c>
      <c r="BJ296" s="501">
        <f t="shared" ca="1" si="16"/>
        <v>46348</v>
      </c>
      <c r="BK296" s="91"/>
      <c r="BL296" s="91"/>
      <c r="BM296" s="91"/>
      <c r="BN296" s="91"/>
      <c r="BO296" s="91"/>
      <c r="BP296" s="91"/>
      <c r="BQ296" s="91"/>
      <c r="BR296" s="91"/>
      <c r="BS296" s="91"/>
      <c r="BT296" s="499"/>
      <c r="BU296" s="499"/>
      <c r="BV296" s="499"/>
    </row>
    <row r="297" spans="54:74">
      <c r="BB297" s="407"/>
      <c r="BC297" s="407"/>
      <c r="BD297" s="409"/>
      <c r="BE297" s="91"/>
      <c r="BF297" s="91"/>
      <c r="BG297" s="91"/>
      <c r="BH297" s="88">
        <f t="shared" ref="BH297:BH324" ca="1" si="17">SUM(BH296+1)</f>
        <v>46349</v>
      </c>
      <c r="BI297" s="206" t="str">
        <f t="shared" ca="1" si="15"/>
        <v/>
      </c>
      <c r="BJ297" s="501" t="str">
        <f t="shared" ca="1" si="16"/>
        <v/>
      </c>
      <c r="BK297" s="91"/>
      <c r="BL297" s="91"/>
      <c r="BM297" s="91"/>
      <c r="BN297" s="91"/>
      <c r="BO297" s="91"/>
      <c r="BP297" s="91"/>
      <c r="BQ297" s="91"/>
      <c r="BR297" s="91"/>
      <c r="BS297" s="91"/>
      <c r="BT297" s="499"/>
      <c r="BU297" s="499"/>
      <c r="BV297" s="499"/>
    </row>
    <row r="298" spans="54:74">
      <c r="BB298" s="407"/>
      <c r="BC298" s="407"/>
      <c r="BD298" s="409"/>
      <c r="BE298" s="91"/>
      <c r="BF298" s="91"/>
      <c r="BG298" s="91"/>
      <c r="BH298" s="88">
        <f t="shared" ca="1" si="17"/>
        <v>46350</v>
      </c>
      <c r="BI298" s="206">
        <f t="shared" ca="1" si="15"/>
        <v>1</v>
      </c>
      <c r="BJ298" s="501">
        <f t="shared" ca="1" si="16"/>
        <v>46350</v>
      </c>
      <c r="BK298" s="91"/>
      <c r="BL298" s="91"/>
      <c r="BM298" s="91"/>
      <c r="BN298" s="91"/>
      <c r="BO298" s="91"/>
      <c r="BP298" s="91"/>
      <c r="BQ298" s="91"/>
      <c r="BR298" s="91"/>
      <c r="BS298" s="91"/>
      <c r="BT298" s="499"/>
      <c r="BU298" s="499"/>
      <c r="BV298" s="499"/>
    </row>
    <row r="299" spans="54:74">
      <c r="BB299" s="407"/>
      <c r="BC299" s="407"/>
      <c r="BD299" s="409"/>
      <c r="BE299" s="91"/>
      <c r="BF299" s="91"/>
      <c r="BG299" s="91"/>
      <c r="BH299" s="88">
        <f t="shared" ca="1" si="17"/>
        <v>46351</v>
      </c>
      <c r="BI299" s="206">
        <f t="shared" ca="1" si="15"/>
        <v>1</v>
      </c>
      <c r="BJ299" s="501">
        <f t="shared" ca="1" si="16"/>
        <v>46351</v>
      </c>
      <c r="BK299" s="91"/>
      <c r="BL299" s="91"/>
      <c r="BM299" s="91"/>
      <c r="BN299" s="91"/>
      <c r="BO299" s="91"/>
      <c r="BP299" s="91"/>
      <c r="BQ299" s="91"/>
      <c r="BR299" s="91"/>
      <c r="BS299" s="91"/>
      <c r="BT299" s="499"/>
      <c r="BU299" s="499"/>
      <c r="BV299" s="499"/>
    </row>
    <row r="300" spans="54:74">
      <c r="BB300" s="407"/>
      <c r="BC300" s="407"/>
      <c r="BD300" s="409"/>
      <c r="BE300" s="91"/>
      <c r="BF300" s="91"/>
      <c r="BG300" s="91"/>
      <c r="BH300" s="88">
        <f t="shared" ca="1" si="17"/>
        <v>46352</v>
      </c>
      <c r="BI300" s="206">
        <f t="shared" ref="BI300:BI324" ca="1" si="18">IF(TEXT(BH300,"ddddd")="maandag","",1)</f>
        <v>1</v>
      </c>
      <c r="BJ300" s="501">
        <f t="shared" ca="1" si="16"/>
        <v>46352</v>
      </c>
      <c r="BK300" s="91"/>
      <c r="BL300" s="91"/>
      <c r="BM300" s="91"/>
      <c r="BN300" s="91"/>
      <c r="BO300" s="91"/>
      <c r="BP300" s="91"/>
      <c r="BQ300" s="91"/>
      <c r="BR300" s="91"/>
      <c r="BS300" s="91"/>
      <c r="BT300" s="499"/>
      <c r="BU300" s="499"/>
      <c r="BV300" s="499"/>
    </row>
    <row r="301" spans="54:74">
      <c r="BB301" s="407"/>
      <c r="BC301" s="407"/>
      <c r="BD301" s="409"/>
      <c r="BE301" s="91"/>
      <c r="BF301" s="91"/>
      <c r="BG301" s="91"/>
      <c r="BH301" s="88">
        <f t="shared" ca="1" si="17"/>
        <v>46353</v>
      </c>
      <c r="BI301" s="206">
        <f t="shared" ca="1" si="18"/>
        <v>1</v>
      </c>
      <c r="BJ301" s="501">
        <f t="shared" ca="1" si="16"/>
        <v>46353</v>
      </c>
      <c r="BK301" s="91"/>
      <c r="BL301" s="91"/>
      <c r="BM301" s="91"/>
      <c r="BN301" s="91"/>
      <c r="BO301" s="91"/>
      <c r="BP301" s="91"/>
      <c r="BQ301" s="91"/>
      <c r="BR301" s="91"/>
      <c r="BS301" s="91"/>
      <c r="BT301" s="499"/>
      <c r="BU301" s="499"/>
      <c r="BV301" s="499"/>
    </row>
    <row r="302" spans="54:74">
      <c r="BB302" s="407"/>
      <c r="BC302" s="407"/>
      <c r="BD302" s="409"/>
      <c r="BE302" s="91"/>
      <c r="BF302" s="91"/>
      <c r="BG302" s="91"/>
      <c r="BH302" s="88">
        <f t="shared" ca="1" si="17"/>
        <v>46354</v>
      </c>
      <c r="BI302" s="206">
        <f t="shared" ca="1" si="18"/>
        <v>1</v>
      </c>
      <c r="BJ302" s="501">
        <f t="shared" ca="1" si="16"/>
        <v>46354</v>
      </c>
      <c r="BK302" s="91"/>
      <c r="BL302" s="91"/>
      <c r="BM302" s="91"/>
      <c r="BN302" s="91"/>
      <c r="BO302" s="91"/>
      <c r="BP302" s="91"/>
      <c r="BQ302" s="91"/>
      <c r="BR302" s="91"/>
      <c r="BS302" s="91"/>
      <c r="BT302" s="499"/>
      <c r="BU302" s="499"/>
      <c r="BV302" s="499"/>
    </row>
    <row r="303" spans="54:74">
      <c r="BB303" s="407"/>
      <c r="BC303" s="407"/>
      <c r="BD303" s="409"/>
      <c r="BE303" s="91"/>
      <c r="BF303" s="91"/>
      <c r="BG303" s="91"/>
      <c r="BH303" s="88">
        <f t="shared" ca="1" si="17"/>
        <v>46355</v>
      </c>
      <c r="BI303" s="206">
        <f t="shared" ca="1" si="18"/>
        <v>1</v>
      </c>
      <c r="BJ303" s="501">
        <f t="shared" ca="1" si="16"/>
        <v>46355</v>
      </c>
      <c r="BK303" s="91"/>
      <c r="BL303" s="91"/>
      <c r="BM303" s="91"/>
      <c r="BN303" s="91"/>
      <c r="BO303" s="91"/>
      <c r="BP303" s="91"/>
      <c r="BQ303" s="91"/>
      <c r="BR303" s="91"/>
      <c r="BS303" s="91"/>
      <c r="BT303" s="499"/>
      <c r="BU303" s="499"/>
      <c r="BV303" s="499"/>
    </row>
    <row r="304" spans="54:74">
      <c r="BB304" s="407"/>
      <c r="BC304" s="407"/>
      <c r="BD304" s="409"/>
      <c r="BE304" s="91"/>
      <c r="BF304" s="91"/>
      <c r="BG304" s="91"/>
      <c r="BH304" s="88">
        <f t="shared" ca="1" si="17"/>
        <v>46356</v>
      </c>
      <c r="BI304" s="206" t="str">
        <f t="shared" ca="1" si="18"/>
        <v/>
      </c>
      <c r="BJ304" s="501" t="str">
        <f t="shared" ca="1" si="16"/>
        <v/>
      </c>
      <c r="BK304" s="91"/>
      <c r="BL304" s="91"/>
      <c r="BM304" s="91"/>
      <c r="BN304" s="91"/>
      <c r="BO304" s="91"/>
      <c r="BP304" s="91"/>
      <c r="BQ304" s="91"/>
      <c r="BR304" s="91"/>
      <c r="BS304" s="91"/>
      <c r="BT304" s="499"/>
      <c r="BU304" s="499"/>
      <c r="BV304" s="499"/>
    </row>
    <row r="305" spans="54:74">
      <c r="BB305" s="407"/>
      <c r="BC305" s="407"/>
      <c r="BD305" s="409"/>
      <c r="BE305" s="91"/>
      <c r="BF305" s="91"/>
      <c r="BG305" s="91"/>
      <c r="BH305" s="88">
        <f t="shared" ca="1" si="17"/>
        <v>46357</v>
      </c>
      <c r="BI305" s="206">
        <f t="shared" ca="1" si="18"/>
        <v>1</v>
      </c>
      <c r="BJ305" s="501">
        <f t="shared" ca="1" si="16"/>
        <v>46357</v>
      </c>
      <c r="BK305" s="91"/>
      <c r="BL305" s="91"/>
      <c r="BM305" s="91"/>
      <c r="BN305" s="91"/>
      <c r="BO305" s="91"/>
      <c r="BP305" s="91"/>
      <c r="BQ305" s="91"/>
      <c r="BR305" s="91"/>
      <c r="BS305" s="91"/>
      <c r="BT305" s="499"/>
      <c r="BU305" s="499"/>
      <c r="BV305" s="499"/>
    </row>
    <row r="306" spans="54:74">
      <c r="BB306" s="407"/>
      <c r="BC306" s="407"/>
      <c r="BD306" s="409"/>
      <c r="BE306" s="91"/>
      <c r="BF306" s="91"/>
      <c r="BG306" s="91"/>
      <c r="BH306" s="88">
        <f t="shared" ca="1" si="17"/>
        <v>46358</v>
      </c>
      <c r="BI306" s="206">
        <f t="shared" ca="1" si="18"/>
        <v>1</v>
      </c>
      <c r="BJ306" s="501">
        <f t="shared" ca="1" si="16"/>
        <v>46358</v>
      </c>
      <c r="BK306" s="91"/>
      <c r="BL306" s="91"/>
      <c r="BM306" s="91"/>
      <c r="BN306" s="91"/>
      <c r="BO306" s="91"/>
      <c r="BP306" s="91"/>
      <c r="BQ306" s="91"/>
      <c r="BR306" s="91"/>
      <c r="BS306" s="91"/>
      <c r="BT306" s="499"/>
      <c r="BU306" s="499"/>
      <c r="BV306" s="499"/>
    </row>
    <row r="307" spans="54:74">
      <c r="BB307" s="407"/>
      <c r="BC307" s="407"/>
      <c r="BD307" s="409"/>
      <c r="BE307" s="91"/>
      <c r="BF307" s="91"/>
      <c r="BG307" s="91"/>
      <c r="BH307" s="88">
        <f t="shared" ca="1" si="17"/>
        <v>46359</v>
      </c>
      <c r="BI307" s="206">
        <f t="shared" ca="1" si="18"/>
        <v>1</v>
      </c>
      <c r="BJ307" s="501">
        <f t="shared" ca="1" si="16"/>
        <v>46359</v>
      </c>
      <c r="BK307" s="91"/>
      <c r="BL307" s="91"/>
      <c r="BM307" s="91"/>
      <c r="BN307" s="91"/>
      <c r="BO307" s="91"/>
      <c r="BP307" s="91"/>
      <c r="BQ307" s="91"/>
      <c r="BR307" s="91"/>
      <c r="BS307" s="91"/>
      <c r="BT307" s="499"/>
      <c r="BU307" s="499"/>
      <c r="BV307" s="499"/>
    </row>
    <row r="308" spans="54:74">
      <c r="BB308" s="407"/>
      <c r="BC308" s="407"/>
      <c r="BD308" s="409"/>
      <c r="BE308" s="91"/>
      <c r="BF308" s="91"/>
      <c r="BG308" s="91"/>
      <c r="BH308" s="88">
        <f t="shared" ca="1" si="17"/>
        <v>46360</v>
      </c>
      <c r="BI308" s="206">
        <f t="shared" ca="1" si="18"/>
        <v>1</v>
      </c>
      <c r="BJ308" s="501">
        <f t="shared" ca="1" si="16"/>
        <v>46360</v>
      </c>
      <c r="BK308" s="91"/>
      <c r="BL308" s="91"/>
      <c r="BM308" s="91"/>
      <c r="BN308" s="91"/>
      <c r="BO308" s="91"/>
      <c r="BP308" s="91"/>
      <c r="BQ308" s="91"/>
      <c r="BR308" s="91"/>
      <c r="BS308" s="91"/>
      <c r="BT308" s="499"/>
      <c r="BU308" s="499"/>
      <c r="BV308" s="499"/>
    </row>
    <row r="309" spans="54:74">
      <c r="BB309" s="407"/>
      <c r="BC309" s="407"/>
      <c r="BD309" s="409"/>
      <c r="BE309" s="91"/>
      <c r="BF309" s="91"/>
      <c r="BG309" s="91"/>
      <c r="BH309" s="88">
        <f t="shared" ca="1" si="17"/>
        <v>46361</v>
      </c>
      <c r="BI309" s="206">
        <f t="shared" ca="1" si="18"/>
        <v>1</v>
      </c>
      <c r="BJ309" s="501">
        <f t="shared" ca="1" si="16"/>
        <v>46361</v>
      </c>
      <c r="BK309" s="91"/>
      <c r="BL309" s="91"/>
      <c r="BM309" s="91"/>
      <c r="BN309" s="91"/>
      <c r="BO309" s="91"/>
      <c r="BP309" s="91"/>
      <c r="BQ309" s="91"/>
      <c r="BR309" s="91"/>
      <c r="BS309" s="91"/>
      <c r="BT309" s="499"/>
      <c r="BU309" s="499"/>
      <c r="BV309" s="499"/>
    </row>
    <row r="310" spans="54:74">
      <c r="BB310" s="407"/>
      <c r="BC310" s="407"/>
      <c r="BD310" s="409"/>
      <c r="BE310" s="91"/>
      <c r="BF310" s="91"/>
      <c r="BG310" s="91"/>
      <c r="BH310" s="88">
        <f t="shared" ca="1" si="17"/>
        <v>46362</v>
      </c>
      <c r="BI310" s="206">
        <f t="shared" ca="1" si="18"/>
        <v>1</v>
      </c>
      <c r="BJ310" s="501">
        <f t="shared" ca="1" si="16"/>
        <v>46362</v>
      </c>
      <c r="BK310" s="91"/>
      <c r="BL310" s="91"/>
      <c r="BM310" s="91"/>
      <c r="BN310" s="91"/>
      <c r="BO310" s="91"/>
      <c r="BP310" s="91"/>
      <c r="BQ310" s="91"/>
      <c r="BR310" s="91"/>
      <c r="BS310" s="91"/>
      <c r="BT310" s="499"/>
      <c r="BU310" s="499"/>
      <c r="BV310" s="499"/>
    </row>
    <row r="311" spans="54:74">
      <c r="BB311" s="407"/>
      <c r="BC311" s="407"/>
      <c r="BD311" s="409"/>
      <c r="BE311" s="91"/>
      <c r="BF311" s="91"/>
      <c r="BG311" s="91"/>
      <c r="BH311" s="88">
        <f t="shared" ca="1" si="17"/>
        <v>46363</v>
      </c>
      <c r="BI311" s="206" t="str">
        <f t="shared" ca="1" si="18"/>
        <v/>
      </c>
      <c r="BJ311" s="501" t="str">
        <f t="shared" ca="1" si="16"/>
        <v/>
      </c>
      <c r="BK311" s="91"/>
      <c r="BL311" s="91"/>
      <c r="BM311" s="91"/>
      <c r="BN311" s="91"/>
      <c r="BO311" s="91"/>
      <c r="BP311" s="91"/>
      <c r="BQ311" s="91"/>
      <c r="BR311" s="91"/>
      <c r="BS311" s="91"/>
      <c r="BT311" s="499"/>
      <c r="BU311" s="499"/>
      <c r="BV311" s="499"/>
    </row>
    <row r="312" spans="54:74">
      <c r="BB312" s="407"/>
      <c r="BC312" s="407"/>
      <c r="BD312" s="409"/>
      <c r="BE312" s="91"/>
      <c r="BF312" s="91"/>
      <c r="BG312" s="91"/>
      <c r="BH312" s="88">
        <f t="shared" ca="1" si="17"/>
        <v>46364</v>
      </c>
      <c r="BI312" s="206">
        <f t="shared" ca="1" si="18"/>
        <v>1</v>
      </c>
      <c r="BJ312" s="501">
        <f t="shared" ca="1" si="16"/>
        <v>46364</v>
      </c>
      <c r="BK312" s="91"/>
      <c r="BL312" s="91"/>
      <c r="BM312" s="91"/>
      <c r="BN312" s="91"/>
      <c r="BO312" s="91"/>
      <c r="BP312" s="91"/>
      <c r="BQ312" s="91"/>
      <c r="BR312" s="91"/>
      <c r="BS312" s="91"/>
      <c r="BT312" s="499"/>
      <c r="BU312" s="499"/>
      <c r="BV312" s="499"/>
    </row>
    <row r="313" spans="54:74">
      <c r="BB313" s="407"/>
      <c r="BC313" s="407"/>
      <c r="BD313" s="409"/>
      <c r="BE313" s="91"/>
      <c r="BF313" s="91"/>
      <c r="BG313" s="91"/>
      <c r="BH313" s="88">
        <f t="shared" ca="1" si="17"/>
        <v>46365</v>
      </c>
      <c r="BI313" s="206">
        <f t="shared" ca="1" si="18"/>
        <v>1</v>
      </c>
      <c r="BJ313" s="501">
        <f t="shared" ca="1" si="16"/>
        <v>46365</v>
      </c>
      <c r="BK313" s="91"/>
      <c r="BL313" s="91"/>
      <c r="BM313" s="91"/>
      <c r="BN313" s="91"/>
      <c r="BO313" s="91"/>
      <c r="BP313" s="91"/>
      <c r="BQ313" s="91"/>
      <c r="BR313" s="91"/>
      <c r="BS313" s="91"/>
      <c r="BT313" s="499"/>
      <c r="BU313" s="499"/>
      <c r="BV313" s="499"/>
    </row>
    <row r="314" spans="54:74">
      <c r="BB314" s="407"/>
      <c r="BC314" s="407"/>
      <c r="BD314" s="409"/>
      <c r="BE314" s="91"/>
      <c r="BF314" s="91"/>
      <c r="BG314" s="91"/>
      <c r="BH314" s="88">
        <f t="shared" ca="1" si="17"/>
        <v>46366</v>
      </c>
      <c r="BI314" s="206">
        <f t="shared" ca="1" si="18"/>
        <v>1</v>
      </c>
      <c r="BJ314" s="501">
        <f t="shared" ca="1" si="16"/>
        <v>46366</v>
      </c>
      <c r="BK314" s="91"/>
      <c r="BL314" s="91"/>
      <c r="BM314" s="91"/>
      <c r="BN314" s="91"/>
      <c r="BO314" s="91"/>
      <c r="BP314" s="91"/>
      <c r="BQ314" s="91"/>
      <c r="BR314" s="91"/>
      <c r="BS314" s="91"/>
      <c r="BT314" s="499"/>
      <c r="BU314" s="499"/>
      <c r="BV314" s="499"/>
    </row>
    <row r="315" spans="54:74">
      <c r="BB315" s="407"/>
      <c r="BC315" s="407"/>
      <c r="BD315" s="409"/>
      <c r="BE315" s="91"/>
      <c r="BF315" s="91"/>
      <c r="BG315" s="91"/>
      <c r="BH315" s="88">
        <f t="shared" ca="1" si="17"/>
        <v>46367</v>
      </c>
      <c r="BI315" s="206">
        <f t="shared" ca="1" si="18"/>
        <v>1</v>
      </c>
      <c r="BJ315" s="501">
        <f t="shared" ca="1" si="16"/>
        <v>46367</v>
      </c>
      <c r="BK315" s="91"/>
      <c r="BL315" s="91"/>
      <c r="BM315" s="91"/>
      <c r="BN315" s="91"/>
      <c r="BO315" s="91"/>
      <c r="BP315" s="91"/>
      <c r="BQ315" s="91"/>
      <c r="BR315" s="91"/>
      <c r="BS315" s="91"/>
      <c r="BT315" s="499"/>
      <c r="BU315" s="499"/>
      <c r="BV315" s="499"/>
    </row>
    <row r="316" spans="54:74">
      <c r="BB316" s="407"/>
      <c r="BC316" s="407"/>
      <c r="BD316" s="409"/>
      <c r="BE316" s="91"/>
      <c r="BF316" s="91"/>
      <c r="BG316" s="91"/>
      <c r="BH316" s="88">
        <f t="shared" ca="1" si="17"/>
        <v>46368</v>
      </c>
      <c r="BI316" s="206">
        <f t="shared" ca="1" si="18"/>
        <v>1</v>
      </c>
      <c r="BJ316" s="501">
        <f t="shared" ca="1" si="16"/>
        <v>46368</v>
      </c>
      <c r="BK316" s="91"/>
      <c r="BL316" s="91"/>
      <c r="BM316" s="91"/>
      <c r="BN316" s="91"/>
      <c r="BO316" s="91"/>
      <c r="BP316" s="91"/>
      <c r="BQ316" s="91"/>
      <c r="BR316" s="91"/>
      <c r="BS316" s="91"/>
      <c r="BT316" s="499"/>
      <c r="BU316" s="499"/>
      <c r="BV316" s="499"/>
    </row>
    <row r="317" spans="54:74">
      <c r="BB317" s="407"/>
      <c r="BC317" s="407"/>
      <c r="BD317" s="409"/>
      <c r="BE317" s="91"/>
      <c r="BF317" s="91"/>
      <c r="BG317" s="91"/>
      <c r="BH317" s="88">
        <f t="shared" ca="1" si="17"/>
        <v>46369</v>
      </c>
      <c r="BI317" s="206">
        <f t="shared" ca="1" si="18"/>
        <v>1</v>
      </c>
      <c r="BJ317" s="501">
        <f t="shared" ca="1" si="16"/>
        <v>46369</v>
      </c>
      <c r="BK317" s="91"/>
      <c r="BL317" s="91"/>
      <c r="BM317" s="91"/>
      <c r="BN317" s="91"/>
      <c r="BO317" s="91"/>
      <c r="BP317" s="91"/>
      <c r="BQ317" s="91"/>
      <c r="BR317" s="91"/>
      <c r="BS317" s="91"/>
      <c r="BT317" s="499"/>
      <c r="BU317" s="499"/>
      <c r="BV317" s="499"/>
    </row>
    <row r="318" spans="54:74">
      <c r="BB318" s="407"/>
      <c r="BC318" s="407"/>
      <c r="BD318" s="409"/>
      <c r="BE318" s="91"/>
      <c r="BF318" s="91"/>
      <c r="BG318" s="91"/>
      <c r="BH318" s="88">
        <f t="shared" ca="1" si="17"/>
        <v>46370</v>
      </c>
      <c r="BI318" s="206" t="str">
        <f t="shared" ca="1" si="18"/>
        <v/>
      </c>
      <c r="BJ318" s="501" t="str">
        <f t="shared" ca="1" si="16"/>
        <v/>
      </c>
      <c r="BK318" s="91"/>
      <c r="BL318" s="91"/>
      <c r="BM318" s="91"/>
      <c r="BN318" s="91"/>
      <c r="BO318" s="91"/>
      <c r="BP318" s="91"/>
      <c r="BQ318" s="91"/>
      <c r="BR318" s="91"/>
      <c r="BS318" s="91"/>
      <c r="BT318" s="499"/>
      <c r="BU318" s="499"/>
      <c r="BV318" s="499"/>
    </row>
    <row r="319" spans="54:74">
      <c r="BB319" s="407"/>
      <c r="BC319" s="407"/>
      <c r="BD319" s="409"/>
      <c r="BE319" s="91"/>
      <c r="BF319" s="91"/>
      <c r="BG319" s="91"/>
      <c r="BH319" s="88">
        <f t="shared" ca="1" si="17"/>
        <v>46371</v>
      </c>
      <c r="BI319" s="206">
        <f t="shared" ca="1" si="18"/>
        <v>1</v>
      </c>
      <c r="BJ319" s="501">
        <f t="shared" ca="1" si="16"/>
        <v>46371</v>
      </c>
      <c r="BK319" s="91"/>
      <c r="BL319" s="91"/>
      <c r="BM319" s="91"/>
      <c r="BN319" s="91"/>
      <c r="BO319" s="91"/>
      <c r="BP319" s="91"/>
      <c r="BQ319" s="91"/>
      <c r="BR319" s="91"/>
      <c r="BS319" s="91"/>
      <c r="BT319" s="499"/>
      <c r="BU319" s="499"/>
      <c r="BV319" s="499"/>
    </row>
    <row r="320" spans="54:74">
      <c r="BB320" s="407"/>
      <c r="BC320" s="407"/>
      <c r="BD320" s="409"/>
      <c r="BE320" s="91"/>
      <c r="BF320" s="91"/>
      <c r="BG320" s="91"/>
      <c r="BH320" s="88">
        <f t="shared" ca="1" si="17"/>
        <v>46372</v>
      </c>
      <c r="BI320" s="206">
        <f t="shared" ca="1" si="18"/>
        <v>1</v>
      </c>
      <c r="BJ320" s="501">
        <f t="shared" ca="1" si="16"/>
        <v>46372</v>
      </c>
      <c r="BK320" s="91"/>
      <c r="BL320" s="91"/>
      <c r="BM320" s="91"/>
      <c r="BN320" s="91"/>
      <c r="BO320" s="91"/>
      <c r="BP320" s="91"/>
      <c r="BQ320" s="91"/>
      <c r="BR320" s="91"/>
      <c r="BS320" s="91"/>
      <c r="BT320" s="499"/>
      <c r="BU320" s="499"/>
      <c r="BV320" s="499"/>
    </row>
    <row r="321" spans="54:74">
      <c r="BB321" s="407"/>
      <c r="BC321" s="407"/>
      <c r="BD321" s="409"/>
      <c r="BE321" s="91"/>
      <c r="BF321" s="91"/>
      <c r="BG321" s="91"/>
      <c r="BH321" s="88">
        <f t="shared" ca="1" si="17"/>
        <v>46373</v>
      </c>
      <c r="BI321" s="206">
        <f t="shared" ca="1" si="18"/>
        <v>1</v>
      </c>
      <c r="BJ321" s="501">
        <f t="shared" ca="1" si="16"/>
        <v>46373</v>
      </c>
      <c r="BK321" s="91"/>
      <c r="BL321" s="91"/>
      <c r="BM321" s="91"/>
      <c r="BN321" s="91"/>
      <c r="BO321" s="91"/>
      <c r="BP321" s="91"/>
      <c r="BQ321" s="91"/>
      <c r="BR321" s="91"/>
      <c r="BS321" s="91"/>
      <c r="BT321" s="499"/>
      <c r="BU321" s="499"/>
      <c r="BV321" s="499"/>
    </row>
    <row r="322" spans="54:74">
      <c r="BB322" s="407"/>
      <c r="BC322" s="407"/>
      <c r="BD322" s="409"/>
      <c r="BE322" s="91"/>
      <c r="BF322" s="91"/>
      <c r="BG322" s="91"/>
      <c r="BH322" s="88">
        <f t="shared" ca="1" si="17"/>
        <v>46374</v>
      </c>
      <c r="BI322" s="206">
        <f t="shared" ca="1" si="18"/>
        <v>1</v>
      </c>
      <c r="BJ322" s="501">
        <f t="shared" ca="1" si="16"/>
        <v>46374</v>
      </c>
      <c r="BK322" s="91"/>
      <c r="BL322" s="91"/>
      <c r="BM322" s="91"/>
      <c r="BN322" s="91"/>
      <c r="BO322" s="91"/>
      <c r="BP322" s="91"/>
      <c r="BQ322" s="91"/>
      <c r="BR322" s="91"/>
      <c r="BS322" s="91"/>
      <c r="BT322" s="499"/>
      <c r="BU322" s="499"/>
      <c r="BV322" s="499"/>
    </row>
    <row r="323" spans="54:74">
      <c r="BB323" s="407"/>
      <c r="BC323" s="407"/>
      <c r="BD323" s="409"/>
      <c r="BE323" s="91"/>
      <c r="BF323" s="91"/>
      <c r="BG323" s="91"/>
      <c r="BH323" s="88">
        <f t="shared" ca="1" si="17"/>
        <v>46375</v>
      </c>
      <c r="BI323" s="206">
        <f t="shared" ca="1" si="18"/>
        <v>1</v>
      </c>
      <c r="BJ323" s="501">
        <f t="shared" ca="1" si="16"/>
        <v>46375</v>
      </c>
      <c r="BK323" s="91"/>
      <c r="BL323" s="91"/>
      <c r="BM323" s="91"/>
      <c r="BN323" s="91"/>
      <c r="BO323" s="91"/>
      <c r="BP323" s="91"/>
      <c r="BQ323" s="91"/>
      <c r="BR323" s="91"/>
      <c r="BS323" s="91"/>
      <c r="BT323" s="499"/>
      <c r="BU323" s="499"/>
      <c r="BV323" s="499"/>
    </row>
    <row r="324" spans="54:74">
      <c r="BB324" s="407"/>
      <c r="BC324" s="407"/>
      <c r="BD324" s="409"/>
      <c r="BE324" s="91"/>
      <c r="BF324" s="91"/>
      <c r="BG324" s="91"/>
      <c r="BH324" s="88">
        <f t="shared" ca="1" si="17"/>
        <v>46376</v>
      </c>
      <c r="BI324" s="206">
        <f t="shared" ca="1" si="18"/>
        <v>1</v>
      </c>
      <c r="BJ324" s="501">
        <f t="shared" ca="1" si="16"/>
        <v>46376</v>
      </c>
      <c r="BK324" s="91"/>
      <c r="BL324" s="91"/>
      <c r="BM324" s="91"/>
      <c r="BN324" s="91"/>
      <c r="BO324" s="91"/>
      <c r="BP324" s="91"/>
      <c r="BQ324" s="91"/>
      <c r="BR324" s="91"/>
      <c r="BS324" s="91"/>
      <c r="BT324" s="499"/>
      <c r="BU324" s="499"/>
      <c r="BV324" s="499"/>
    </row>
    <row r="325" spans="54:74">
      <c r="BB325" s="407"/>
      <c r="BC325" s="407"/>
      <c r="BD325" s="409"/>
      <c r="BE325" s="91"/>
      <c r="BF325" s="91"/>
      <c r="BG325" s="91"/>
      <c r="BH325" s="88">
        <f t="shared" ref="BH325:BH345" ca="1" si="19">SUM(BH324+1)</f>
        <v>46377</v>
      </c>
      <c r="BI325" s="206" t="str">
        <f t="shared" ref="BI325:BI363" ca="1" si="20">IF(TEXT(BH325,"ddddd")="maandag","",1)</f>
        <v/>
      </c>
      <c r="BJ325" s="501" t="str">
        <f t="shared" ca="1" si="16"/>
        <v/>
      </c>
      <c r="BK325" s="91"/>
      <c r="BL325" s="91"/>
      <c r="BM325" s="91"/>
      <c r="BN325" s="91"/>
      <c r="BO325" s="91"/>
      <c r="BP325" s="91"/>
      <c r="BQ325" s="91"/>
      <c r="BR325" s="91"/>
      <c r="BS325" s="91"/>
      <c r="BT325" s="499"/>
      <c r="BU325" s="499"/>
      <c r="BV325" s="499"/>
    </row>
    <row r="326" spans="54:74">
      <c r="BB326" s="407"/>
      <c r="BC326" s="407"/>
      <c r="BD326" s="409"/>
      <c r="BE326" s="91"/>
      <c r="BF326" s="91"/>
      <c r="BG326" s="91"/>
      <c r="BH326" s="88">
        <f t="shared" ca="1" si="19"/>
        <v>46378</v>
      </c>
      <c r="BI326" s="206">
        <f t="shared" ca="1" si="20"/>
        <v>1</v>
      </c>
      <c r="BJ326" s="501" t="s">
        <v>920</v>
      </c>
      <c r="BK326" s="91"/>
      <c r="BL326" s="91"/>
      <c r="BM326" s="91"/>
      <c r="BN326" s="91"/>
      <c r="BO326" s="91"/>
      <c r="BP326" s="91"/>
      <c r="BQ326" s="91"/>
      <c r="BR326" s="91"/>
      <c r="BS326" s="91"/>
      <c r="BT326" s="499"/>
      <c r="BU326" s="499"/>
      <c r="BV326" s="499"/>
    </row>
    <row r="327" spans="54:74">
      <c r="BB327" s="407"/>
      <c r="BC327" s="407"/>
      <c r="BD327" s="409"/>
      <c r="BE327" s="91"/>
      <c r="BF327" s="91"/>
      <c r="BG327" s="91"/>
      <c r="BH327" s="88">
        <f t="shared" ca="1" si="19"/>
        <v>46379</v>
      </c>
      <c r="BI327" s="206">
        <f t="shared" ca="1" si="20"/>
        <v>1</v>
      </c>
      <c r="BJ327" s="501" t="s">
        <v>920</v>
      </c>
      <c r="BK327" s="91"/>
      <c r="BL327" s="91"/>
      <c r="BM327" s="91"/>
      <c r="BN327" s="91"/>
      <c r="BO327" s="91"/>
      <c r="BP327" s="91"/>
      <c r="BQ327" s="91"/>
      <c r="BR327" s="91"/>
      <c r="BS327" s="91"/>
      <c r="BT327" s="499"/>
      <c r="BU327" s="499"/>
      <c r="BV327" s="499"/>
    </row>
    <row r="328" spans="54:74">
      <c r="BB328" s="407"/>
      <c r="BC328" s="407"/>
      <c r="BD328" s="409"/>
      <c r="BE328" s="91"/>
      <c r="BF328" s="91"/>
      <c r="BG328" s="91"/>
      <c r="BH328" s="88">
        <f t="shared" ca="1" si="19"/>
        <v>46380</v>
      </c>
      <c r="BI328" s="206">
        <f t="shared" ca="1" si="20"/>
        <v>1</v>
      </c>
      <c r="BJ328" s="501" t="s">
        <v>921</v>
      </c>
      <c r="BK328" s="91"/>
      <c r="BL328" s="91"/>
      <c r="BM328" s="91"/>
      <c r="BN328" s="91"/>
      <c r="BO328" s="91"/>
      <c r="BP328" s="91"/>
      <c r="BQ328" s="91"/>
      <c r="BR328" s="91"/>
      <c r="BS328" s="91"/>
      <c r="BT328" s="499"/>
      <c r="BU328" s="499"/>
      <c r="BV328" s="499"/>
    </row>
    <row r="329" spans="54:74">
      <c r="BB329" s="407"/>
      <c r="BC329" s="407"/>
      <c r="BD329" s="409"/>
      <c r="BE329" s="91"/>
      <c r="BF329" s="91"/>
      <c r="BG329" s="91"/>
      <c r="BH329" s="88">
        <f t="shared" ca="1" si="19"/>
        <v>46381</v>
      </c>
      <c r="BI329" s="206">
        <f t="shared" ca="1" si="20"/>
        <v>1</v>
      </c>
      <c r="BJ329" s="501" t="s">
        <v>921</v>
      </c>
      <c r="BK329" s="91"/>
      <c r="BL329" s="91"/>
      <c r="BM329" s="91"/>
      <c r="BN329" s="91"/>
      <c r="BO329" s="91"/>
      <c r="BP329" s="91"/>
      <c r="BQ329" s="91"/>
      <c r="BR329" s="91"/>
      <c r="BS329" s="91"/>
      <c r="BT329" s="499"/>
      <c r="BU329" s="499"/>
      <c r="BV329" s="499"/>
    </row>
    <row r="330" spans="54:74">
      <c r="BB330" s="407"/>
      <c r="BC330" s="407"/>
      <c r="BD330" s="409"/>
      <c r="BE330" s="91"/>
      <c r="BF330" s="91"/>
      <c r="BG330" s="91"/>
      <c r="BH330" s="88">
        <f t="shared" ca="1" si="19"/>
        <v>46382</v>
      </c>
      <c r="BI330" s="206">
        <f t="shared" ca="1" si="20"/>
        <v>1</v>
      </c>
      <c r="BJ330" s="501" t="s">
        <v>921</v>
      </c>
      <c r="BK330" s="91"/>
      <c r="BL330" s="91"/>
      <c r="BM330" s="91"/>
      <c r="BN330" s="91"/>
      <c r="BO330" s="91"/>
      <c r="BP330" s="91"/>
      <c r="BQ330" s="91"/>
      <c r="BR330" s="91"/>
      <c r="BS330" s="91"/>
      <c r="BT330" s="499"/>
      <c r="BU330" s="499"/>
      <c r="BV330" s="499"/>
    </row>
    <row r="331" spans="54:74">
      <c r="BB331" s="407"/>
      <c r="BC331" s="407"/>
      <c r="BD331" s="409"/>
      <c r="BE331" s="91"/>
      <c r="BF331" s="91"/>
      <c r="BG331" s="91"/>
      <c r="BH331" s="88">
        <f t="shared" ca="1" si="19"/>
        <v>46383</v>
      </c>
      <c r="BI331" s="206">
        <f t="shared" ca="1" si="20"/>
        <v>1</v>
      </c>
      <c r="BJ331" s="501" t="s">
        <v>922</v>
      </c>
      <c r="BK331" s="91"/>
      <c r="BL331" s="91"/>
      <c r="BM331" s="91"/>
      <c r="BN331" s="91"/>
      <c r="BO331" s="91"/>
      <c r="BP331" s="91"/>
      <c r="BQ331" s="91"/>
      <c r="BR331" s="91"/>
      <c r="BS331" s="91"/>
      <c r="BT331" s="499"/>
      <c r="BU331" s="499"/>
      <c r="BV331" s="499"/>
    </row>
    <row r="332" spans="54:74">
      <c r="BB332" s="407"/>
      <c r="BC332" s="407"/>
      <c r="BD332" s="409"/>
      <c r="BE332" s="91"/>
      <c r="BF332" s="91"/>
      <c r="BG332" s="91"/>
      <c r="BH332" s="88">
        <f t="shared" ca="1" si="19"/>
        <v>46384</v>
      </c>
      <c r="BI332" s="206" t="str">
        <f t="shared" ca="1" si="20"/>
        <v/>
      </c>
      <c r="BJ332" s="501" t="str">
        <f t="shared" ref="BJ332" ca="1" si="21">IF(BI332=1,BH332,"")</f>
        <v/>
      </c>
      <c r="BK332" s="91"/>
      <c r="BL332" s="91"/>
      <c r="BM332" s="91"/>
      <c r="BN332" s="91"/>
      <c r="BO332" s="91"/>
      <c r="BP332" s="91"/>
      <c r="BQ332" s="91"/>
      <c r="BR332" s="91"/>
      <c r="BS332" s="91"/>
      <c r="BT332" s="499"/>
      <c r="BU332" s="499"/>
      <c r="BV332" s="499"/>
    </row>
    <row r="333" spans="54:74">
      <c r="BB333" s="407"/>
      <c r="BC333" s="407"/>
      <c r="BD333" s="409"/>
      <c r="BE333" s="91"/>
      <c r="BF333" s="91"/>
      <c r="BG333" s="91"/>
      <c r="BH333" s="88">
        <f t="shared" ca="1" si="19"/>
        <v>46385</v>
      </c>
      <c r="BI333" s="206">
        <f t="shared" ca="1" si="20"/>
        <v>1</v>
      </c>
      <c r="BJ333" s="501" t="s">
        <v>922</v>
      </c>
      <c r="BK333" s="91"/>
      <c r="BL333" s="91"/>
      <c r="BM333" s="91"/>
      <c r="BN333" s="91"/>
      <c r="BO333" s="91"/>
      <c r="BP333" s="91"/>
      <c r="BQ333" s="91"/>
      <c r="BR333" s="91"/>
      <c r="BS333" s="91"/>
      <c r="BT333" s="499"/>
      <c r="BU333" s="499"/>
      <c r="BV333" s="499"/>
    </row>
    <row r="334" spans="54:74">
      <c r="BB334" s="407"/>
      <c r="BC334" s="407"/>
      <c r="BD334" s="409"/>
      <c r="BE334" s="91"/>
      <c r="BF334" s="91"/>
      <c r="BG334" s="91"/>
      <c r="BH334" s="88">
        <f t="shared" ca="1" si="19"/>
        <v>46386</v>
      </c>
      <c r="BI334" s="206">
        <f t="shared" ca="1" si="20"/>
        <v>1</v>
      </c>
      <c r="BJ334" s="501" t="s">
        <v>922</v>
      </c>
      <c r="BK334" s="91"/>
      <c r="BL334" s="91"/>
      <c r="BM334" s="91"/>
      <c r="BN334" s="91"/>
      <c r="BO334" s="91"/>
      <c r="BP334" s="91"/>
      <c r="BQ334" s="91"/>
      <c r="BR334" s="91"/>
      <c r="BS334" s="91"/>
      <c r="BT334" s="499"/>
      <c r="BU334" s="499"/>
      <c r="BV334" s="499"/>
    </row>
    <row r="335" spans="54:74">
      <c r="BB335" s="407"/>
      <c r="BC335" s="407"/>
      <c r="BD335" s="409"/>
      <c r="BE335" s="91"/>
      <c r="BF335" s="91"/>
      <c r="BG335" s="91"/>
      <c r="BH335" s="88">
        <f t="shared" ca="1" si="19"/>
        <v>46387</v>
      </c>
      <c r="BI335" s="206">
        <f t="shared" ca="1" si="20"/>
        <v>1</v>
      </c>
      <c r="BJ335" s="501" t="s">
        <v>922</v>
      </c>
      <c r="BK335" s="91"/>
      <c r="BL335" s="91"/>
      <c r="BM335" s="91"/>
      <c r="BN335" s="91"/>
      <c r="BO335" s="91"/>
      <c r="BP335" s="91"/>
      <c r="BQ335" s="91"/>
      <c r="BR335" s="91"/>
      <c r="BS335" s="91"/>
      <c r="BT335" s="499"/>
      <c r="BU335" s="499"/>
      <c r="BV335" s="499"/>
    </row>
    <row r="336" spans="54:74">
      <c r="BB336" s="407"/>
      <c r="BC336" s="407"/>
      <c r="BD336" s="409"/>
      <c r="BE336" s="91"/>
      <c r="BF336" s="91"/>
      <c r="BG336" s="91"/>
      <c r="BH336" s="88">
        <f t="shared" ca="1" si="19"/>
        <v>46388</v>
      </c>
      <c r="BI336" s="206">
        <f t="shared" ca="1" si="20"/>
        <v>1</v>
      </c>
      <c r="BJ336" s="501" t="s">
        <v>922</v>
      </c>
      <c r="BK336" s="91"/>
      <c r="BL336" s="91"/>
      <c r="BM336" s="91"/>
      <c r="BN336" s="91"/>
      <c r="BO336" s="91"/>
      <c r="BP336" s="91"/>
      <c r="BQ336" s="91"/>
      <c r="BR336" s="91"/>
      <c r="BS336" s="91"/>
      <c r="BT336" s="499"/>
      <c r="BU336" s="499"/>
      <c r="BV336" s="499"/>
    </row>
    <row r="337" spans="54:74">
      <c r="BB337" s="407"/>
      <c r="BC337" s="407"/>
      <c r="BD337" s="409"/>
      <c r="BE337" s="91"/>
      <c r="BF337" s="91"/>
      <c r="BG337" s="91"/>
      <c r="BH337" s="88">
        <f t="shared" ca="1" si="19"/>
        <v>46389</v>
      </c>
      <c r="BI337" s="206">
        <f t="shared" ca="1" si="20"/>
        <v>1</v>
      </c>
      <c r="BJ337" s="501" t="s">
        <v>922</v>
      </c>
      <c r="BK337" s="91"/>
      <c r="BL337" s="91"/>
      <c r="BM337" s="91"/>
      <c r="BN337" s="91"/>
      <c r="BO337" s="91"/>
      <c r="BP337" s="91"/>
      <c r="BQ337" s="91"/>
      <c r="BR337" s="91"/>
      <c r="BS337" s="91"/>
      <c r="BT337" s="499"/>
      <c r="BU337" s="499"/>
      <c r="BV337" s="499"/>
    </row>
    <row r="338" spans="54:74">
      <c r="BB338" s="407"/>
      <c r="BC338" s="407"/>
      <c r="BD338" s="409"/>
      <c r="BE338" s="91"/>
      <c r="BF338" s="91"/>
      <c r="BG338" s="91"/>
      <c r="BH338" s="88">
        <f t="shared" ca="1" si="19"/>
        <v>46390</v>
      </c>
      <c r="BI338" s="206">
        <f t="shared" ca="1" si="20"/>
        <v>1</v>
      </c>
      <c r="BJ338" s="501" t="s">
        <v>922</v>
      </c>
      <c r="BK338" s="91"/>
      <c r="BL338" s="91"/>
      <c r="BM338" s="91"/>
      <c r="BN338" s="91"/>
      <c r="BO338" s="91"/>
      <c r="BP338" s="91"/>
      <c r="BQ338" s="91"/>
      <c r="BR338" s="91"/>
      <c r="BS338" s="91"/>
      <c r="BT338" s="499"/>
      <c r="BU338" s="499"/>
      <c r="BV338" s="499"/>
    </row>
    <row r="339" spans="54:74">
      <c r="BB339" s="407"/>
      <c r="BC339" s="407"/>
      <c r="BD339" s="409"/>
      <c r="BE339" s="91"/>
      <c r="BF339" s="91"/>
      <c r="BG339" s="91"/>
      <c r="BH339" s="88">
        <f t="shared" ca="1" si="19"/>
        <v>46391</v>
      </c>
      <c r="BI339" s="206" t="str">
        <f t="shared" ca="1" si="20"/>
        <v/>
      </c>
      <c r="BJ339" s="501" t="str">
        <f t="shared" ref="BJ339:BJ402" ca="1" si="22">IF(BI339=1,BH339,"")</f>
        <v/>
      </c>
      <c r="BK339" s="91"/>
      <c r="BL339" s="91"/>
      <c r="BM339" s="91"/>
      <c r="BN339" s="91"/>
      <c r="BO339" s="91"/>
      <c r="BP339" s="91"/>
      <c r="BQ339" s="91"/>
      <c r="BR339" s="91"/>
      <c r="BS339" s="91"/>
      <c r="BT339" s="499"/>
      <c r="BU339" s="499"/>
      <c r="BV339" s="499"/>
    </row>
    <row r="340" spans="54:74">
      <c r="BB340" s="407"/>
      <c r="BC340" s="407"/>
      <c r="BD340" s="409"/>
      <c r="BE340" s="91"/>
      <c r="BF340" s="91"/>
      <c r="BG340" s="91"/>
      <c r="BH340" s="88">
        <f t="shared" ca="1" si="19"/>
        <v>46392</v>
      </c>
      <c r="BI340" s="206">
        <f t="shared" ca="1" si="20"/>
        <v>1</v>
      </c>
      <c r="BJ340" s="501">
        <f t="shared" ca="1" si="22"/>
        <v>46392</v>
      </c>
      <c r="BK340" s="91"/>
      <c r="BL340" s="91"/>
      <c r="BM340" s="91"/>
      <c r="BN340" s="91"/>
      <c r="BO340" s="91"/>
      <c r="BP340" s="91"/>
      <c r="BQ340" s="91"/>
      <c r="BR340" s="91"/>
      <c r="BS340" s="91"/>
      <c r="BT340" s="499"/>
      <c r="BU340" s="499"/>
      <c r="BV340" s="499"/>
    </row>
    <row r="341" spans="54:74">
      <c r="BB341" s="407"/>
      <c r="BC341" s="407"/>
      <c r="BD341" s="409"/>
      <c r="BE341" s="91"/>
      <c r="BF341" s="91"/>
      <c r="BG341" s="91"/>
      <c r="BH341" s="88">
        <f t="shared" ca="1" si="19"/>
        <v>46393</v>
      </c>
      <c r="BI341" s="206">
        <f t="shared" ca="1" si="20"/>
        <v>1</v>
      </c>
      <c r="BJ341" s="501">
        <f t="shared" ca="1" si="22"/>
        <v>46393</v>
      </c>
      <c r="BK341" s="91"/>
      <c r="BL341" s="91"/>
      <c r="BM341" s="91"/>
      <c r="BN341" s="91"/>
      <c r="BO341" s="91"/>
      <c r="BP341" s="91"/>
      <c r="BQ341" s="91"/>
      <c r="BR341" s="91"/>
      <c r="BS341" s="91"/>
      <c r="BT341" s="499"/>
      <c r="BU341" s="499"/>
      <c r="BV341" s="499"/>
    </row>
    <row r="342" spans="54:74">
      <c r="BB342" s="407"/>
      <c r="BC342" s="407"/>
      <c r="BD342" s="409"/>
      <c r="BE342" s="91"/>
      <c r="BF342" s="91"/>
      <c r="BG342" s="91"/>
      <c r="BH342" s="88">
        <f t="shared" ca="1" si="19"/>
        <v>46394</v>
      </c>
      <c r="BI342" s="206">
        <f t="shared" ca="1" si="20"/>
        <v>1</v>
      </c>
      <c r="BJ342" s="501">
        <f t="shared" ca="1" si="22"/>
        <v>46394</v>
      </c>
      <c r="BK342" s="91"/>
      <c r="BL342" s="91"/>
      <c r="BM342" s="91"/>
      <c r="BN342" s="91"/>
      <c r="BO342" s="91"/>
      <c r="BP342" s="91"/>
      <c r="BQ342" s="91"/>
      <c r="BR342" s="91"/>
      <c r="BS342" s="91"/>
      <c r="BT342" s="499"/>
      <c r="BU342" s="499"/>
      <c r="BV342" s="499"/>
    </row>
    <row r="343" spans="54:74">
      <c r="BB343" s="407"/>
      <c r="BC343" s="407"/>
      <c r="BD343" s="409"/>
      <c r="BE343" s="91"/>
      <c r="BF343" s="91"/>
      <c r="BG343" s="91"/>
      <c r="BH343" s="88">
        <f t="shared" ca="1" si="19"/>
        <v>46395</v>
      </c>
      <c r="BI343" s="206">
        <f t="shared" ca="1" si="20"/>
        <v>1</v>
      </c>
      <c r="BJ343" s="501">
        <f t="shared" ca="1" si="22"/>
        <v>46395</v>
      </c>
      <c r="BK343" s="91"/>
      <c r="BL343" s="91"/>
      <c r="BM343" s="91"/>
      <c r="BN343" s="91"/>
      <c r="BO343" s="91"/>
      <c r="BP343" s="91"/>
      <c r="BQ343" s="91"/>
      <c r="BR343" s="91"/>
      <c r="BS343" s="91"/>
      <c r="BT343" s="499"/>
      <c r="BU343" s="499"/>
      <c r="BV343" s="499"/>
    </row>
    <row r="344" spans="54:74">
      <c r="BB344" s="407"/>
      <c r="BC344" s="407"/>
      <c r="BD344" s="409"/>
      <c r="BE344" s="91"/>
      <c r="BF344" s="91"/>
      <c r="BG344" s="91"/>
      <c r="BH344" s="88">
        <f t="shared" ca="1" si="19"/>
        <v>46396</v>
      </c>
      <c r="BI344" s="206">
        <f t="shared" ca="1" si="20"/>
        <v>1</v>
      </c>
      <c r="BJ344" s="501">
        <f t="shared" ca="1" si="22"/>
        <v>46396</v>
      </c>
      <c r="BK344" s="91"/>
      <c r="BL344" s="91"/>
      <c r="BM344" s="91"/>
      <c r="BN344" s="91"/>
      <c r="BO344" s="91"/>
      <c r="BP344" s="91"/>
      <c r="BQ344" s="91"/>
      <c r="BR344" s="91"/>
      <c r="BS344" s="91"/>
      <c r="BT344" s="499"/>
      <c r="BU344" s="499"/>
      <c r="BV344" s="499"/>
    </row>
    <row r="345" spans="54:74">
      <c r="BB345" s="407"/>
      <c r="BC345" s="407"/>
      <c r="BD345" s="409"/>
      <c r="BE345" s="91"/>
      <c r="BF345" s="91"/>
      <c r="BG345" s="91"/>
      <c r="BH345" s="88">
        <f t="shared" ca="1" si="19"/>
        <v>46397</v>
      </c>
      <c r="BI345" s="206">
        <f t="shared" ca="1" si="20"/>
        <v>1</v>
      </c>
      <c r="BJ345" s="501">
        <f t="shared" ca="1" si="22"/>
        <v>46397</v>
      </c>
      <c r="BK345" s="91"/>
      <c r="BL345" s="91"/>
      <c r="BM345" s="91"/>
      <c r="BN345" s="91"/>
      <c r="BO345" s="91"/>
      <c r="BP345" s="91"/>
      <c r="BQ345" s="91"/>
      <c r="BR345" s="91"/>
      <c r="BS345" s="91"/>
      <c r="BT345" s="499"/>
      <c r="BU345" s="499"/>
      <c r="BV345" s="499"/>
    </row>
    <row r="346" spans="54:74">
      <c r="BB346" s="407"/>
      <c r="BC346" s="407"/>
      <c r="BD346" s="409"/>
      <c r="BE346" s="91"/>
      <c r="BF346" s="91"/>
      <c r="BG346" s="91"/>
      <c r="BH346" s="88">
        <f t="shared" ref="BH346:BH408" ca="1" si="23">SUM(BH345+1)</f>
        <v>46398</v>
      </c>
      <c r="BI346" s="206" t="str">
        <f t="shared" ca="1" si="20"/>
        <v/>
      </c>
      <c r="BJ346" s="501" t="str">
        <f t="shared" ca="1" si="22"/>
        <v/>
      </c>
      <c r="BK346" s="91"/>
      <c r="BL346" s="91"/>
      <c r="BM346" s="91"/>
      <c r="BN346" s="91"/>
      <c r="BO346" s="91"/>
      <c r="BP346" s="91"/>
      <c r="BQ346" s="91"/>
      <c r="BR346" s="91"/>
      <c r="BS346" s="91"/>
      <c r="BT346" s="499"/>
      <c r="BU346" s="499"/>
      <c r="BV346" s="499"/>
    </row>
    <row r="347" spans="54:74">
      <c r="BB347" s="407"/>
      <c r="BC347" s="407"/>
      <c r="BD347" s="409"/>
      <c r="BE347" s="91"/>
      <c r="BF347" s="91"/>
      <c r="BG347" s="91"/>
      <c r="BH347" s="88">
        <f t="shared" ca="1" si="23"/>
        <v>46399</v>
      </c>
      <c r="BI347" s="206">
        <f t="shared" ca="1" si="20"/>
        <v>1</v>
      </c>
      <c r="BJ347" s="501">
        <f t="shared" ca="1" si="22"/>
        <v>46399</v>
      </c>
      <c r="BK347" s="91"/>
      <c r="BL347" s="91"/>
      <c r="BM347" s="91"/>
      <c r="BN347" s="91"/>
      <c r="BO347" s="91"/>
      <c r="BP347" s="91"/>
      <c r="BQ347" s="91"/>
      <c r="BR347" s="91"/>
      <c r="BS347" s="91"/>
      <c r="BT347" s="499"/>
      <c r="BU347" s="499"/>
      <c r="BV347" s="499"/>
    </row>
    <row r="348" spans="54:74">
      <c r="BB348" s="407"/>
      <c r="BC348" s="407"/>
      <c r="BD348" s="409"/>
      <c r="BE348" s="91"/>
      <c r="BF348" s="91"/>
      <c r="BG348" s="91"/>
      <c r="BH348" s="88">
        <f t="shared" ca="1" si="23"/>
        <v>46400</v>
      </c>
      <c r="BI348" s="206">
        <f t="shared" ca="1" si="20"/>
        <v>1</v>
      </c>
      <c r="BJ348" s="501">
        <f t="shared" ca="1" si="22"/>
        <v>46400</v>
      </c>
      <c r="BK348" s="91"/>
      <c r="BL348" s="91"/>
      <c r="BM348" s="91"/>
      <c r="BN348" s="91"/>
      <c r="BO348" s="91"/>
      <c r="BP348" s="91"/>
      <c r="BQ348" s="91"/>
      <c r="BR348" s="91"/>
      <c r="BS348" s="91"/>
      <c r="BT348" s="499"/>
      <c r="BU348" s="499"/>
      <c r="BV348" s="499"/>
    </row>
    <row r="349" spans="54:74">
      <c r="BB349" s="407"/>
      <c r="BC349" s="407"/>
      <c r="BD349" s="409"/>
      <c r="BE349" s="91"/>
      <c r="BF349" s="91"/>
      <c r="BG349" s="91"/>
      <c r="BH349" s="88">
        <f t="shared" ca="1" si="23"/>
        <v>46401</v>
      </c>
      <c r="BI349" s="206">
        <f t="shared" ca="1" si="20"/>
        <v>1</v>
      </c>
      <c r="BJ349" s="501">
        <f t="shared" ca="1" si="22"/>
        <v>46401</v>
      </c>
      <c r="BK349" s="91"/>
      <c r="BL349" s="91"/>
      <c r="BM349" s="91"/>
      <c r="BN349" s="91"/>
      <c r="BO349" s="91"/>
      <c r="BP349" s="91"/>
      <c r="BQ349" s="91"/>
      <c r="BR349" s="91"/>
      <c r="BS349" s="91"/>
      <c r="BT349" s="499"/>
      <c r="BU349" s="499"/>
      <c r="BV349" s="499"/>
    </row>
    <row r="350" spans="54:74">
      <c r="BB350" s="407"/>
      <c r="BC350" s="407"/>
      <c r="BD350" s="409"/>
      <c r="BE350" s="91"/>
      <c r="BF350" s="91"/>
      <c r="BG350" s="91"/>
      <c r="BH350" s="88">
        <f t="shared" ca="1" si="23"/>
        <v>46402</v>
      </c>
      <c r="BI350" s="206">
        <f t="shared" ca="1" si="20"/>
        <v>1</v>
      </c>
      <c r="BJ350" s="501">
        <f t="shared" ca="1" si="22"/>
        <v>46402</v>
      </c>
      <c r="BK350" s="91"/>
      <c r="BL350" s="91"/>
      <c r="BM350" s="91"/>
      <c r="BN350" s="91"/>
      <c r="BO350" s="91"/>
      <c r="BP350" s="91"/>
      <c r="BQ350" s="91"/>
      <c r="BR350" s="91"/>
      <c r="BS350" s="91"/>
      <c r="BT350" s="499"/>
      <c r="BU350" s="499"/>
      <c r="BV350" s="499"/>
    </row>
    <row r="351" spans="54:74">
      <c r="BB351" s="407"/>
      <c r="BC351" s="407"/>
      <c r="BD351" s="409"/>
      <c r="BE351" s="91"/>
      <c r="BF351" s="91"/>
      <c r="BG351" s="91"/>
      <c r="BH351" s="88">
        <f t="shared" ca="1" si="23"/>
        <v>46403</v>
      </c>
      <c r="BI351" s="206">
        <f t="shared" ca="1" si="20"/>
        <v>1</v>
      </c>
      <c r="BJ351" s="501">
        <f t="shared" ca="1" si="22"/>
        <v>46403</v>
      </c>
      <c r="BK351" s="91"/>
      <c r="BL351" s="91"/>
      <c r="BM351" s="91"/>
      <c r="BN351" s="91"/>
      <c r="BO351" s="91"/>
      <c r="BP351" s="91"/>
      <c r="BQ351" s="91"/>
      <c r="BR351" s="91"/>
      <c r="BS351" s="91"/>
      <c r="BT351" s="499"/>
      <c r="BU351" s="499"/>
      <c r="BV351" s="499"/>
    </row>
    <row r="352" spans="54:74">
      <c r="BB352" s="407"/>
      <c r="BC352" s="407"/>
      <c r="BD352" s="409"/>
      <c r="BE352" s="91"/>
      <c r="BF352" s="91"/>
      <c r="BG352" s="91"/>
      <c r="BH352" s="88">
        <f t="shared" ca="1" si="23"/>
        <v>46404</v>
      </c>
      <c r="BI352" s="206">
        <f t="shared" ca="1" si="20"/>
        <v>1</v>
      </c>
      <c r="BJ352" s="501">
        <f t="shared" ca="1" si="22"/>
        <v>46404</v>
      </c>
      <c r="BK352" s="91"/>
      <c r="BL352" s="91"/>
      <c r="BM352" s="91"/>
      <c r="BN352" s="91"/>
      <c r="BO352" s="91"/>
      <c r="BP352" s="91"/>
      <c r="BQ352" s="91"/>
      <c r="BR352" s="91"/>
      <c r="BS352" s="91"/>
      <c r="BT352" s="499"/>
      <c r="BU352" s="499"/>
      <c r="BV352" s="499"/>
    </row>
    <row r="353" spans="54:74">
      <c r="BB353" s="407"/>
      <c r="BC353" s="407"/>
      <c r="BD353" s="409"/>
      <c r="BE353" s="91"/>
      <c r="BF353" s="91"/>
      <c r="BG353" s="91"/>
      <c r="BH353" s="88">
        <f t="shared" ca="1" si="23"/>
        <v>46405</v>
      </c>
      <c r="BI353" s="206" t="str">
        <f t="shared" ca="1" si="20"/>
        <v/>
      </c>
      <c r="BJ353" s="501" t="str">
        <f t="shared" ca="1" si="22"/>
        <v/>
      </c>
      <c r="BK353" s="91"/>
      <c r="BL353" s="91"/>
      <c r="BM353" s="91"/>
      <c r="BN353" s="91"/>
      <c r="BO353" s="91"/>
      <c r="BP353" s="91"/>
      <c r="BQ353" s="91"/>
      <c r="BR353" s="91"/>
      <c r="BS353" s="91"/>
      <c r="BT353" s="499"/>
      <c r="BU353" s="499"/>
      <c r="BV353" s="499"/>
    </row>
    <row r="354" spans="54:74">
      <c r="BB354" s="407"/>
      <c r="BC354" s="407"/>
      <c r="BD354" s="409"/>
      <c r="BE354" s="91"/>
      <c r="BF354" s="91"/>
      <c r="BG354" s="91"/>
      <c r="BH354" s="88">
        <f t="shared" ca="1" si="23"/>
        <v>46406</v>
      </c>
      <c r="BI354" s="206">
        <f t="shared" ca="1" si="20"/>
        <v>1</v>
      </c>
      <c r="BJ354" s="501">
        <f t="shared" ca="1" si="22"/>
        <v>46406</v>
      </c>
      <c r="BK354" s="91"/>
      <c r="BL354" s="91"/>
      <c r="BM354" s="91"/>
      <c r="BN354" s="91"/>
      <c r="BO354" s="91"/>
      <c r="BP354" s="91"/>
      <c r="BQ354" s="91"/>
      <c r="BR354" s="91"/>
      <c r="BS354" s="91"/>
      <c r="BT354" s="499"/>
      <c r="BU354" s="499"/>
      <c r="BV354" s="499"/>
    </row>
    <row r="355" spans="54:74">
      <c r="BB355" s="407"/>
      <c r="BC355" s="407"/>
      <c r="BD355" s="409"/>
      <c r="BE355" s="91"/>
      <c r="BF355" s="91"/>
      <c r="BG355" s="91"/>
      <c r="BH355" s="88">
        <f t="shared" ca="1" si="23"/>
        <v>46407</v>
      </c>
      <c r="BI355" s="206">
        <f t="shared" ca="1" si="20"/>
        <v>1</v>
      </c>
      <c r="BJ355" s="501">
        <f t="shared" ca="1" si="22"/>
        <v>46407</v>
      </c>
      <c r="BK355" s="91"/>
      <c r="BL355" s="91"/>
      <c r="BM355" s="91"/>
      <c r="BN355" s="91"/>
      <c r="BO355" s="91"/>
      <c r="BP355" s="91"/>
      <c r="BQ355" s="91"/>
      <c r="BR355" s="91"/>
      <c r="BS355" s="91"/>
      <c r="BT355" s="499"/>
      <c r="BU355" s="499"/>
      <c r="BV355" s="499"/>
    </row>
    <row r="356" spans="54:74">
      <c r="BB356" s="407"/>
      <c r="BC356" s="407"/>
      <c r="BD356" s="409"/>
      <c r="BE356" s="91"/>
      <c r="BF356" s="91"/>
      <c r="BG356" s="91"/>
      <c r="BH356" s="88">
        <f t="shared" ca="1" si="23"/>
        <v>46408</v>
      </c>
      <c r="BI356" s="206">
        <f t="shared" ca="1" si="20"/>
        <v>1</v>
      </c>
      <c r="BJ356" s="501">
        <f t="shared" ca="1" si="22"/>
        <v>46408</v>
      </c>
      <c r="BK356" s="91"/>
      <c r="BL356" s="91"/>
      <c r="BM356" s="91"/>
      <c r="BN356" s="91"/>
      <c r="BO356" s="91"/>
      <c r="BP356" s="91"/>
      <c r="BQ356" s="91"/>
      <c r="BR356" s="91"/>
      <c r="BS356" s="91"/>
      <c r="BT356" s="499"/>
      <c r="BU356" s="499"/>
      <c r="BV356" s="499"/>
    </row>
    <row r="357" spans="54:74">
      <c r="BB357" s="407"/>
      <c r="BC357" s="407"/>
      <c r="BD357" s="409"/>
      <c r="BE357" s="91"/>
      <c r="BF357" s="91"/>
      <c r="BG357" s="91"/>
      <c r="BH357" s="88">
        <f t="shared" ca="1" si="23"/>
        <v>46409</v>
      </c>
      <c r="BI357" s="206">
        <f t="shared" ca="1" si="20"/>
        <v>1</v>
      </c>
      <c r="BJ357" s="501">
        <f t="shared" ca="1" si="22"/>
        <v>46409</v>
      </c>
      <c r="BK357" s="91"/>
      <c r="BL357" s="91"/>
      <c r="BM357" s="91"/>
      <c r="BN357" s="91"/>
      <c r="BO357" s="91"/>
      <c r="BP357" s="91"/>
      <c r="BQ357" s="91"/>
      <c r="BR357" s="91"/>
      <c r="BS357" s="91"/>
      <c r="BT357" s="499"/>
      <c r="BU357" s="499"/>
      <c r="BV357" s="499"/>
    </row>
    <row r="358" spans="54:74">
      <c r="BB358" s="407"/>
      <c r="BC358" s="407"/>
      <c r="BD358" s="409"/>
      <c r="BE358" s="91"/>
      <c r="BF358" s="91"/>
      <c r="BG358" s="91"/>
      <c r="BH358" s="88">
        <f t="shared" ca="1" si="23"/>
        <v>46410</v>
      </c>
      <c r="BI358" s="206">
        <f t="shared" ca="1" si="20"/>
        <v>1</v>
      </c>
      <c r="BJ358" s="501">
        <f t="shared" ca="1" si="22"/>
        <v>46410</v>
      </c>
      <c r="BK358" s="91"/>
      <c r="BL358" s="91"/>
      <c r="BM358" s="91"/>
      <c r="BN358" s="91"/>
      <c r="BO358" s="91"/>
      <c r="BP358" s="91"/>
      <c r="BQ358" s="91"/>
      <c r="BR358" s="91"/>
      <c r="BS358" s="91"/>
      <c r="BT358" s="499"/>
    </row>
    <row r="359" spans="54:74">
      <c r="BB359" s="407"/>
      <c r="BC359" s="407"/>
      <c r="BD359" s="409"/>
      <c r="BE359" s="91"/>
      <c r="BF359" s="91"/>
      <c r="BG359" s="91"/>
      <c r="BH359" s="88">
        <f t="shared" ca="1" si="23"/>
        <v>46411</v>
      </c>
      <c r="BI359" s="206">
        <f t="shared" ca="1" si="20"/>
        <v>1</v>
      </c>
      <c r="BJ359" s="501">
        <f t="shared" ca="1" si="22"/>
        <v>46411</v>
      </c>
      <c r="BK359" s="91"/>
      <c r="BL359" s="91"/>
      <c r="BM359" s="91"/>
      <c r="BN359" s="91"/>
      <c r="BO359" s="91"/>
      <c r="BP359" s="91"/>
      <c r="BQ359" s="91"/>
      <c r="BR359" s="91"/>
      <c r="BS359" s="91"/>
      <c r="BT359" s="499"/>
    </row>
    <row r="360" spans="54:74">
      <c r="BB360" s="407"/>
      <c r="BC360" s="407"/>
      <c r="BD360" s="409"/>
      <c r="BE360" s="91"/>
      <c r="BF360" s="91"/>
      <c r="BG360" s="91"/>
      <c r="BH360" s="88">
        <f t="shared" ca="1" si="23"/>
        <v>46412</v>
      </c>
      <c r="BI360" s="206" t="str">
        <f t="shared" ca="1" si="20"/>
        <v/>
      </c>
      <c r="BJ360" s="501" t="str">
        <f t="shared" ca="1" si="22"/>
        <v/>
      </c>
      <c r="BK360" s="91"/>
      <c r="BL360" s="91"/>
      <c r="BM360" s="91"/>
      <c r="BN360" s="91"/>
      <c r="BO360" s="91"/>
      <c r="BP360" s="91"/>
      <c r="BQ360" s="91"/>
      <c r="BR360" s="91"/>
      <c r="BS360" s="91"/>
      <c r="BT360" s="499"/>
    </row>
    <row r="361" spans="54:74">
      <c r="BB361" s="407"/>
      <c r="BC361" s="407"/>
      <c r="BD361" s="409"/>
      <c r="BE361" s="91"/>
      <c r="BF361" s="91"/>
      <c r="BG361" s="91"/>
      <c r="BH361" s="88">
        <f t="shared" ca="1" si="23"/>
        <v>46413</v>
      </c>
      <c r="BI361" s="206">
        <f t="shared" ca="1" si="20"/>
        <v>1</v>
      </c>
      <c r="BJ361" s="501">
        <f t="shared" ca="1" si="22"/>
        <v>46413</v>
      </c>
      <c r="BK361" s="91"/>
      <c r="BL361" s="91"/>
      <c r="BM361" s="91"/>
      <c r="BN361" s="91"/>
      <c r="BO361" s="91"/>
      <c r="BP361" s="91"/>
      <c r="BQ361" s="91"/>
      <c r="BR361" s="91"/>
      <c r="BS361" s="91"/>
      <c r="BT361" s="499"/>
    </row>
    <row r="362" spans="54:74">
      <c r="BB362" s="407"/>
      <c r="BC362" s="407"/>
      <c r="BD362" s="409"/>
      <c r="BE362" s="91"/>
      <c r="BF362" s="91"/>
      <c r="BG362" s="91"/>
      <c r="BH362" s="88">
        <f t="shared" ca="1" si="23"/>
        <v>46414</v>
      </c>
      <c r="BI362" s="206">
        <f t="shared" ca="1" si="20"/>
        <v>1</v>
      </c>
      <c r="BJ362" s="501">
        <f t="shared" ca="1" si="22"/>
        <v>46414</v>
      </c>
      <c r="BK362" s="91"/>
      <c r="BL362" s="91"/>
      <c r="BM362" s="91"/>
      <c r="BN362" s="91"/>
      <c r="BO362" s="91"/>
      <c r="BP362" s="91"/>
      <c r="BQ362" s="91"/>
      <c r="BR362" s="91"/>
      <c r="BS362" s="91"/>
      <c r="BT362" s="499"/>
    </row>
    <row r="363" spans="54:74">
      <c r="BB363" s="407"/>
      <c r="BC363" s="407"/>
      <c r="BD363" s="409"/>
      <c r="BE363" s="91"/>
      <c r="BF363" s="91"/>
      <c r="BG363" s="91"/>
      <c r="BH363" s="88">
        <f t="shared" ca="1" si="23"/>
        <v>46415</v>
      </c>
      <c r="BI363" s="206">
        <f t="shared" ca="1" si="20"/>
        <v>1</v>
      </c>
      <c r="BJ363" s="501">
        <f t="shared" ca="1" si="22"/>
        <v>46415</v>
      </c>
      <c r="BK363" s="91"/>
      <c r="BL363" s="91"/>
      <c r="BM363" s="91"/>
      <c r="BN363" s="91"/>
      <c r="BO363" s="91"/>
      <c r="BP363" s="91"/>
      <c r="BQ363" s="91"/>
      <c r="BR363" s="91"/>
      <c r="BS363" s="91"/>
      <c r="BT363" s="499"/>
    </row>
    <row r="364" spans="54:74">
      <c r="BB364" s="407"/>
      <c r="BC364" s="407"/>
      <c r="BD364" s="409"/>
      <c r="BE364" s="91"/>
      <c r="BF364" s="91"/>
      <c r="BG364" s="91"/>
      <c r="BH364" s="88">
        <f t="shared" ca="1" si="23"/>
        <v>46416</v>
      </c>
      <c r="BI364" s="206">
        <f t="shared" ref="BI364:BI394" ca="1" si="24">IF(TEXT(BH364,"ddddd")="maandag","",1)</f>
        <v>1</v>
      </c>
      <c r="BJ364" s="501">
        <f t="shared" ca="1" si="22"/>
        <v>46416</v>
      </c>
      <c r="BK364" s="91"/>
      <c r="BL364" s="91"/>
      <c r="BM364" s="91"/>
      <c r="BN364" s="91"/>
      <c r="BO364" s="91"/>
      <c r="BP364" s="91"/>
      <c r="BQ364" s="91"/>
      <c r="BR364" s="91"/>
      <c r="BS364" s="91"/>
      <c r="BT364" s="499"/>
    </row>
    <row r="365" spans="54:74">
      <c r="BB365" s="407"/>
      <c r="BC365" s="407"/>
      <c r="BD365" s="409"/>
      <c r="BE365" s="91"/>
      <c r="BF365" s="91"/>
      <c r="BG365" s="91"/>
      <c r="BH365" s="88">
        <f t="shared" ca="1" si="23"/>
        <v>46417</v>
      </c>
      <c r="BI365" s="206">
        <f t="shared" ca="1" si="24"/>
        <v>1</v>
      </c>
      <c r="BJ365" s="501">
        <f t="shared" ca="1" si="22"/>
        <v>46417</v>
      </c>
      <c r="BK365" s="91"/>
      <c r="BL365" s="91"/>
      <c r="BM365" s="91"/>
      <c r="BN365" s="91"/>
      <c r="BO365" s="91"/>
      <c r="BP365" s="91"/>
      <c r="BQ365" s="91"/>
      <c r="BR365" s="91"/>
      <c r="BS365" s="91"/>
      <c r="BT365" s="499"/>
    </row>
    <row r="366" spans="54:74">
      <c r="BB366" s="407"/>
      <c r="BC366" s="407"/>
      <c r="BD366" s="409"/>
      <c r="BE366" s="91"/>
      <c r="BF366" s="91"/>
      <c r="BG366" s="91"/>
      <c r="BH366" s="88">
        <f t="shared" ca="1" si="23"/>
        <v>46418</v>
      </c>
      <c r="BI366" s="206">
        <f t="shared" ca="1" si="24"/>
        <v>1</v>
      </c>
      <c r="BJ366" s="501">
        <f t="shared" ca="1" si="22"/>
        <v>46418</v>
      </c>
      <c r="BK366" s="91"/>
      <c r="BL366" s="91"/>
      <c r="BM366" s="91"/>
      <c r="BN366" s="91"/>
      <c r="BO366" s="91"/>
      <c r="BP366" s="91"/>
      <c r="BQ366" s="91"/>
      <c r="BR366" s="91"/>
      <c r="BS366" s="91"/>
      <c r="BT366" s="499"/>
    </row>
    <row r="367" spans="54:74">
      <c r="BB367" s="407"/>
      <c r="BC367" s="407"/>
      <c r="BD367" s="409"/>
      <c r="BE367" s="91"/>
      <c r="BF367" s="91"/>
      <c r="BG367" s="91"/>
      <c r="BH367" s="88">
        <f t="shared" ca="1" si="23"/>
        <v>46419</v>
      </c>
      <c r="BI367" s="206" t="str">
        <f t="shared" ca="1" si="24"/>
        <v/>
      </c>
      <c r="BJ367" s="501" t="str">
        <f t="shared" ca="1" si="22"/>
        <v/>
      </c>
      <c r="BK367" s="91"/>
      <c r="BL367" s="91"/>
      <c r="BM367" s="91"/>
      <c r="BN367" s="91"/>
      <c r="BO367" s="91"/>
      <c r="BP367" s="91"/>
      <c r="BQ367" s="91"/>
      <c r="BR367" s="91"/>
      <c r="BS367" s="91"/>
      <c r="BT367" s="499"/>
    </row>
    <row r="368" spans="54:74">
      <c r="BB368" s="407"/>
      <c r="BC368" s="407"/>
      <c r="BD368" s="409"/>
      <c r="BE368" s="91"/>
      <c r="BF368" s="91"/>
      <c r="BG368" s="91"/>
      <c r="BH368" s="88">
        <f t="shared" ca="1" si="23"/>
        <v>46420</v>
      </c>
      <c r="BI368" s="206">
        <f t="shared" ca="1" si="24"/>
        <v>1</v>
      </c>
      <c r="BJ368" s="501">
        <f t="shared" ca="1" si="22"/>
        <v>46420</v>
      </c>
      <c r="BK368" s="91"/>
      <c r="BL368" s="91"/>
      <c r="BM368" s="91"/>
      <c r="BN368" s="91"/>
      <c r="BO368" s="91"/>
      <c r="BP368" s="91"/>
      <c r="BQ368" s="91"/>
      <c r="BR368" s="91"/>
      <c r="BS368" s="91"/>
      <c r="BT368" s="499"/>
    </row>
    <row r="369" spans="54:72">
      <c r="BB369" s="407"/>
      <c r="BC369" s="407"/>
      <c r="BD369" s="409"/>
      <c r="BE369" s="91"/>
      <c r="BF369" s="91"/>
      <c r="BG369" s="91"/>
      <c r="BH369" s="88">
        <f t="shared" ca="1" si="23"/>
        <v>46421</v>
      </c>
      <c r="BI369" s="206">
        <f t="shared" ca="1" si="24"/>
        <v>1</v>
      </c>
      <c r="BJ369" s="501">
        <f t="shared" ca="1" si="22"/>
        <v>46421</v>
      </c>
      <c r="BK369" s="91"/>
      <c r="BL369" s="91"/>
      <c r="BM369" s="91"/>
      <c r="BN369" s="91"/>
      <c r="BO369" s="91"/>
      <c r="BP369" s="91"/>
      <c r="BQ369" s="91"/>
      <c r="BR369" s="91"/>
      <c r="BS369" s="91"/>
      <c r="BT369" s="499"/>
    </row>
    <row r="370" spans="54:72">
      <c r="BB370" s="407"/>
      <c r="BC370" s="407"/>
      <c r="BD370" s="409"/>
      <c r="BE370" s="91"/>
      <c r="BF370" s="91"/>
      <c r="BG370" s="91"/>
      <c r="BH370" s="88">
        <f t="shared" ca="1" si="23"/>
        <v>46422</v>
      </c>
      <c r="BI370" s="206">
        <f t="shared" ca="1" si="24"/>
        <v>1</v>
      </c>
      <c r="BJ370" s="501">
        <f t="shared" ca="1" si="22"/>
        <v>46422</v>
      </c>
      <c r="BK370" s="91"/>
      <c r="BL370" s="91"/>
      <c r="BM370" s="91"/>
      <c r="BN370" s="91"/>
      <c r="BO370" s="91"/>
      <c r="BP370" s="91"/>
      <c r="BQ370" s="91"/>
      <c r="BR370" s="91"/>
      <c r="BS370" s="91"/>
      <c r="BT370" s="499"/>
    </row>
    <row r="371" spans="54:72">
      <c r="BB371" s="407"/>
      <c r="BC371" s="407"/>
      <c r="BD371" s="409"/>
      <c r="BE371" s="91"/>
      <c r="BF371" s="91"/>
      <c r="BG371" s="91"/>
      <c r="BH371" s="88">
        <f t="shared" ca="1" si="23"/>
        <v>46423</v>
      </c>
      <c r="BI371" s="206">
        <f t="shared" ca="1" si="24"/>
        <v>1</v>
      </c>
      <c r="BJ371" s="501">
        <f t="shared" ca="1" si="22"/>
        <v>46423</v>
      </c>
      <c r="BK371" s="91"/>
      <c r="BL371" s="91"/>
      <c r="BM371" s="91"/>
      <c r="BN371" s="91"/>
      <c r="BO371" s="91"/>
      <c r="BP371" s="91"/>
      <c r="BQ371" s="91"/>
      <c r="BR371" s="91"/>
      <c r="BS371" s="91"/>
      <c r="BT371" s="499"/>
    </row>
    <row r="372" spans="54:72">
      <c r="BB372" s="407"/>
      <c r="BC372" s="407"/>
      <c r="BD372" s="409"/>
      <c r="BE372" s="91"/>
      <c r="BF372" s="91"/>
      <c r="BG372" s="91"/>
      <c r="BH372" s="88">
        <f t="shared" ca="1" si="23"/>
        <v>46424</v>
      </c>
      <c r="BI372" s="206">
        <f t="shared" ca="1" si="24"/>
        <v>1</v>
      </c>
      <c r="BJ372" s="501">
        <f t="shared" ca="1" si="22"/>
        <v>46424</v>
      </c>
      <c r="BK372" s="91"/>
      <c r="BL372" s="91"/>
      <c r="BM372" s="91"/>
      <c r="BN372" s="91"/>
      <c r="BO372" s="91"/>
      <c r="BP372" s="91"/>
      <c r="BQ372" s="91"/>
      <c r="BR372" s="91"/>
      <c r="BS372" s="91"/>
      <c r="BT372" s="499"/>
    </row>
    <row r="373" spans="54:72">
      <c r="BB373" s="407"/>
      <c r="BC373" s="407"/>
      <c r="BD373" s="409"/>
      <c r="BE373" s="91"/>
      <c r="BF373" s="91"/>
      <c r="BG373" s="91"/>
      <c r="BH373" s="88">
        <f t="shared" ca="1" si="23"/>
        <v>46425</v>
      </c>
      <c r="BI373" s="206">
        <f t="shared" ca="1" si="24"/>
        <v>1</v>
      </c>
      <c r="BJ373" s="501">
        <f t="shared" ca="1" si="22"/>
        <v>46425</v>
      </c>
      <c r="BK373" s="91"/>
      <c r="BL373" s="91"/>
      <c r="BM373" s="91"/>
      <c r="BN373" s="91"/>
      <c r="BO373" s="91"/>
      <c r="BP373" s="91"/>
      <c r="BQ373" s="91"/>
      <c r="BR373" s="91"/>
      <c r="BS373" s="91"/>
      <c r="BT373" s="499"/>
    </row>
    <row r="374" spans="54:72">
      <c r="BB374" s="407"/>
      <c r="BC374" s="407"/>
      <c r="BD374" s="409"/>
      <c r="BE374" s="91"/>
      <c r="BF374" s="91"/>
      <c r="BG374" s="91"/>
      <c r="BH374" s="88">
        <f t="shared" ca="1" si="23"/>
        <v>46426</v>
      </c>
      <c r="BI374" s="206" t="str">
        <f t="shared" ca="1" si="24"/>
        <v/>
      </c>
      <c r="BJ374" s="501" t="str">
        <f t="shared" ca="1" si="22"/>
        <v/>
      </c>
      <c r="BK374" s="91"/>
      <c r="BL374" s="91"/>
      <c r="BM374" s="91"/>
      <c r="BN374" s="91"/>
      <c r="BO374" s="91"/>
      <c r="BP374" s="91"/>
      <c r="BQ374" s="91"/>
      <c r="BR374" s="91"/>
      <c r="BS374" s="91"/>
      <c r="BT374" s="499"/>
    </row>
    <row r="375" spans="54:72">
      <c r="BB375" s="407"/>
      <c r="BC375" s="407"/>
      <c r="BD375" s="409"/>
      <c r="BE375" s="91"/>
      <c r="BF375" s="91"/>
      <c r="BG375" s="91"/>
      <c r="BH375" s="88">
        <f t="shared" ca="1" si="23"/>
        <v>46427</v>
      </c>
      <c r="BI375" s="206">
        <f t="shared" ca="1" si="24"/>
        <v>1</v>
      </c>
      <c r="BJ375" s="501">
        <f t="shared" ca="1" si="22"/>
        <v>46427</v>
      </c>
      <c r="BK375" s="91"/>
      <c r="BL375" s="91"/>
      <c r="BM375" s="91"/>
      <c r="BN375" s="91"/>
      <c r="BO375" s="91"/>
      <c r="BP375" s="91"/>
      <c r="BQ375" s="91"/>
      <c r="BR375" s="91"/>
      <c r="BS375" s="91"/>
      <c r="BT375" s="499"/>
    </row>
    <row r="376" spans="54:72">
      <c r="BB376" s="407"/>
      <c r="BC376" s="407"/>
      <c r="BD376" s="409"/>
      <c r="BE376" s="91"/>
      <c r="BF376" s="91"/>
      <c r="BG376" s="91"/>
      <c r="BH376" s="88">
        <f t="shared" ca="1" si="23"/>
        <v>46428</v>
      </c>
      <c r="BI376" s="206">
        <f t="shared" ca="1" si="24"/>
        <v>1</v>
      </c>
      <c r="BJ376" s="501">
        <f t="shared" ca="1" si="22"/>
        <v>46428</v>
      </c>
      <c r="BK376" s="91"/>
      <c r="BL376" s="91"/>
      <c r="BM376" s="91"/>
      <c r="BN376" s="91"/>
      <c r="BO376" s="91"/>
      <c r="BP376" s="91"/>
      <c r="BQ376" s="91"/>
      <c r="BR376" s="91"/>
      <c r="BS376" s="91"/>
      <c r="BT376" s="499"/>
    </row>
    <row r="377" spans="54:72">
      <c r="BB377" s="407"/>
      <c r="BC377" s="407"/>
      <c r="BD377" s="409"/>
      <c r="BE377" s="91"/>
      <c r="BF377" s="91"/>
      <c r="BG377" s="91"/>
      <c r="BH377" s="88">
        <f t="shared" ca="1" si="23"/>
        <v>46429</v>
      </c>
      <c r="BI377" s="206">
        <f t="shared" ca="1" si="24"/>
        <v>1</v>
      </c>
      <c r="BJ377" s="501">
        <f t="shared" ca="1" si="22"/>
        <v>46429</v>
      </c>
      <c r="BK377" s="91"/>
      <c r="BL377" s="91"/>
      <c r="BM377" s="91"/>
      <c r="BN377" s="91"/>
      <c r="BO377" s="91"/>
      <c r="BP377" s="91"/>
      <c r="BQ377" s="91"/>
      <c r="BR377" s="91"/>
      <c r="BS377" s="91"/>
      <c r="BT377" s="499"/>
    </row>
    <row r="378" spans="54:72">
      <c r="BB378" s="407"/>
      <c r="BC378" s="407"/>
      <c r="BD378" s="409"/>
      <c r="BE378" s="91"/>
      <c r="BF378" s="91"/>
      <c r="BG378" s="91"/>
      <c r="BH378" s="88">
        <f t="shared" ca="1" si="23"/>
        <v>46430</v>
      </c>
      <c r="BI378" s="206">
        <f t="shared" ca="1" si="24"/>
        <v>1</v>
      </c>
      <c r="BJ378" s="501">
        <f t="shared" ca="1" si="22"/>
        <v>46430</v>
      </c>
      <c r="BK378" s="91"/>
      <c r="BL378" s="91"/>
      <c r="BM378" s="91"/>
      <c r="BN378" s="91"/>
      <c r="BO378" s="91"/>
      <c r="BP378" s="91"/>
      <c r="BQ378" s="91"/>
      <c r="BR378" s="91"/>
      <c r="BS378" s="91"/>
      <c r="BT378" s="499"/>
    </row>
    <row r="379" spans="54:72">
      <c r="BB379" s="407"/>
      <c r="BC379" s="407"/>
      <c r="BD379" s="409"/>
      <c r="BE379" s="91"/>
      <c r="BF379" s="91"/>
      <c r="BG379" s="91"/>
      <c r="BH379" s="88">
        <f t="shared" ca="1" si="23"/>
        <v>46431</v>
      </c>
      <c r="BI379" s="206">
        <f t="shared" ca="1" si="24"/>
        <v>1</v>
      </c>
      <c r="BJ379" s="501">
        <f t="shared" ca="1" si="22"/>
        <v>46431</v>
      </c>
      <c r="BK379" s="91"/>
      <c r="BL379" s="91"/>
      <c r="BM379" s="91"/>
      <c r="BN379" s="91"/>
      <c r="BO379" s="91"/>
      <c r="BP379" s="91"/>
      <c r="BQ379" s="91"/>
      <c r="BR379" s="91"/>
      <c r="BS379" s="91"/>
      <c r="BT379" s="499"/>
    </row>
    <row r="380" spans="54:72">
      <c r="BB380" s="407"/>
      <c r="BC380" s="407"/>
      <c r="BD380" s="409"/>
      <c r="BE380" s="91"/>
      <c r="BF380" s="91"/>
      <c r="BG380" s="91"/>
      <c r="BH380" s="88">
        <f t="shared" ca="1" si="23"/>
        <v>46432</v>
      </c>
      <c r="BI380" s="206">
        <f t="shared" ca="1" si="24"/>
        <v>1</v>
      </c>
      <c r="BJ380" s="501">
        <f t="shared" ca="1" si="22"/>
        <v>46432</v>
      </c>
      <c r="BK380" s="91"/>
      <c r="BL380" s="91"/>
      <c r="BM380" s="91"/>
      <c r="BN380" s="91"/>
      <c r="BO380" s="91"/>
      <c r="BP380" s="91"/>
      <c r="BQ380" s="91"/>
      <c r="BR380" s="91"/>
      <c r="BS380" s="91"/>
      <c r="BT380" s="499"/>
    </row>
    <row r="381" spans="54:72">
      <c r="BD381" s="499"/>
      <c r="BE381" s="91"/>
      <c r="BF381" s="91"/>
      <c r="BG381" s="91"/>
      <c r="BH381" s="88">
        <f t="shared" ca="1" si="23"/>
        <v>46433</v>
      </c>
      <c r="BI381" s="206" t="str">
        <f t="shared" ca="1" si="24"/>
        <v/>
      </c>
      <c r="BJ381" s="501" t="str">
        <f t="shared" ca="1" si="22"/>
        <v/>
      </c>
      <c r="BK381" s="91"/>
      <c r="BL381" s="91"/>
      <c r="BM381" s="91"/>
      <c r="BN381" s="91"/>
      <c r="BO381" s="91"/>
      <c r="BP381" s="91"/>
      <c r="BQ381" s="91"/>
      <c r="BR381" s="91"/>
      <c r="BS381" s="91"/>
      <c r="BT381" s="499"/>
    </row>
    <row r="382" spans="54:72">
      <c r="BD382" s="499"/>
      <c r="BE382" s="91"/>
      <c r="BF382" s="91"/>
      <c r="BG382" s="91"/>
      <c r="BH382" s="88">
        <f t="shared" ca="1" si="23"/>
        <v>46434</v>
      </c>
      <c r="BI382" s="206">
        <f t="shared" ca="1" si="24"/>
        <v>1</v>
      </c>
      <c r="BJ382" s="501">
        <f t="shared" ca="1" si="22"/>
        <v>46434</v>
      </c>
      <c r="BK382" s="91"/>
      <c r="BL382" s="91"/>
      <c r="BM382" s="91"/>
      <c r="BN382" s="91"/>
      <c r="BO382" s="91"/>
      <c r="BP382" s="91"/>
      <c r="BQ382" s="91"/>
      <c r="BR382" s="91"/>
      <c r="BS382" s="91"/>
      <c r="BT382" s="499"/>
    </row>
    <row r="383" spans="54:72">
      <c r="BD383" s="499"/>
      <c r="BE383" s="91"/>
      <c r="BF383" s="91"/>
      <c r="BG383" s="91"/>
      <c r="BH383" s="88">
        <f t="shared" ca="1" si="23"/>
        <v>46435</v>
      </c>
      <c r="BI383" s="206">
        <f t="shared" ca="1" si="24"/>
        <v>1</v>
      </c>
      <c r="BJ383" s="501">
        <f t="shared" ca="1" si="22"/>
        <v>46435</v>
      </c>
      <c r="BK383" s="91"/>
      <c r="BL383" s="91"/>
      <c r="BM383" s="91"/>
      <c r="BN383" s="91"/>
      <c r="BO383" s="91"/>
      <c r="BP383" s="91"/>
      <c r="BQ383" s="91"/>
      <c r="BR383" s="91"/>
      <c r="BS383" s="91"/>
      <c r="BT383" s="499"/>
    </row>
    <row r="384" spans="54:72">
      <c r="BD384" s="499"/>
      <c r="BE384" s="91"/>
      <c r="BF384" s="91"/>
      <c r="BG384" s="91"/>
      <c r="BH384" s="88">
        <f t="shared" ca="1" si="23"/>
        <v>46436</v>
      </c>
      <c r="BI384" s="206">
        <f t="shared" ca="1" si="24"/>
        <v>1</v>
      </c>
      <c r="BJ384" s="501">
        <f t="shared" ca="1" si="22"/>
        <v>46436</v>
      </c>
      <c r="BK384" s="91"/>
      <c r="BL384" s="91"/>
      <c r="BM384" s="91"/>
      <c r="BN384" s="91"/>
      <c r="BO384" s="91"/>
      <c r="BP384" s="91"/>
      <c r="BQ384" s="91"/>
      <c r="BR384" s="91"/>
      <c r="BS384" s="91"/>
      <c r="BT384" s="499"/>
    </row>
    <row r="385" spans="56:72">
      <c r="BD385" s="499"/>
      <c r="BE385" s="91"/>
      <c r="BF385" s="91"/>
      <c r="BG385" s="91"/>
      <c r="BH385" s="88">
        <f t="shared" ca="1" si="23"/>
        <v>46437</v>
      </c>
      <c r="BI385" s="206">
        <f t="shared" ca="1" si="24"/>
        <v>1</v>
      </c>
      <c r="BJ385" s="501">
        <f t="shared" ca="1" si="22"/>
        <v>46437</v>
      </c>
      <c r="BK385" s="91"/>
      <c r="BL385" s="91"/>
      <c r="BM385" s="91"/>
      <c r="BN385" s="91"/>
      <c r="BO385" s="91"/>
      <c r="BP385" s="91"/>
      <c r="BQ385" s="91"/>
      <c r="BR385" s="91"/>
      <c r="BS385" s="91"/>
      <c r="BT385" s="499"/>
    </row>
    <row r="386" spans="56:72">
      <c r="BD386" s="499"/>
      <c r="BE386" s="91"/>
      <c r="BF386" s="91"/>
      <c r="BG386" s="91"/>
      <c r="BH386" s="88">
        <f t="shared" ca="1" si="23"/>
        <v>46438</v>
      </c>
      <c r="BI386" s="206">
        <f t="shared" ca="1" si="24"/>
        <v>1</v>
      </c>
      <c r="BJ386" s="501">
        <f t="shared" ca="1" si="22"/>
        <v>46438</v>
      </c>
      <c r="BK386" s="91"/>
      <c r="BL386" s="91"/>
      <c r="BM386" s="91"/>
      <c r="BN386" s="91"/>
      <c r="BO386" s="91"/>
      <c r="BP386" s="91"/>
      <c r="BQ386" s="91"/>
      <c r="BR386" s="91"/>
      <c r="BS386" s="91"/>
      <c r="BT386" s="499"/>
    </row>
    <row r="387" spans="56:72">
      <c r="BD387" s="499"/>
      <c r="BE387" s="91"/>
      <c r="BF387" s="91"/>
      <c r="BG387" s="91"/>
      <c r="BH387" s="88">
        <f t="shared" ca="1" si="23"/>
        <v>46439</v>
      </c>
      <c r="BI387" s="206">
        <f t="shared" ca="1" si="24"/>
        <v>1</v>
      </c>
      <c r="BJ387" s="501">
        <f t="shared" ca="1" si="22"/>
        <v>46439</v>
      </c>
      <c r="BK387" s="91"/>
      <c r="BL387" s="91"/>
      <c r="BM387" s="91"/>
      <c r="BN387" s="91"/>
      <c r="BO387" s="91"/>
      <c r="BP387" s="91"/>
      <c r="BQ387" s="91"/>
      <c r="BR387" s="91"/>
      <c r="BS387" s="91"/>
      <c r="BT387" s="499"/>
    </row>
    <row r="388" spans="56:72">
      <c r="BD388" s="499"/>
      <c r="BE388" s="91"/>
      <c r="BF388" s="91"/>
      <c r="BG388" s="91"/>
      <c r="BH388" s="88">
        <f t="shared" ca="1" si="23"/>
        <v>46440</v>
      </c>
      <c r="BI388" s="206" t="str">
        <f t="shared" ca="1" si="24"/>
        <v/>
      </c>
      <c r="BJ388" s="501" t="str">
        <f t="shared" ca="1" si="22"/>
        <v/>
      </c>
      <c r="BK388" s="91"/>
      <c r="BL388" s="91"/>
      <c r="BM388" s="91"/>
      <c r="BN388" s="91"/>
      <c r="BO388" s="91"/>
      <c r="BP388" s="91"/>
      <c r="BQ388" s="91"/>
      <c r="BR388" s="91"/>
      <c r="BS388" s="91"/>
      <c r="BT388" s="499"/>
    </row>
    <row r="389" spans="56:72">
      <c r="BD389" s="499"/>
      <c r="BE389" s="91"/>
      <c r="BF389" s="91"/>
      <c r="BG389" s="91"/>
      <c r="BH389" s="88">
        <f t="shared" ca="1" si="23"/>
        <v>46441</v>
      </c>
      <c r="BI389" s="206">
        <f t="shared" ca="1" si="24"/>
        <v>1</v>
      </c>
      <c r="BJ389" s="501">
        <f t="shared" ca="1" si="22"/>
        <v>46441</v>
      </c>
      <c r="BK389" s="91"/>
      <c r="BL389" s="91"/>
      <c r="BM389" s="91"/>
      <c r="BN389" s="91"/>
      <c r="BO389" s="91"/>
      <c r="BP389" s="91"/>
      <c r="BQ389" s="91"/>
      <c r="BR389" s="91"/>
      <c r="BS389" s="91"/>
      <c r="BT389" s="499"/>
    </row>
    <row r="390" spans="56:72">
      <c r="BD390" s="499"/>
      <c r="BE390" s="91"/>
      <c r="BF390" s="91"/>
      <c r="BG390" s="91"/>
      <c r="BH390" s="88">
        <f t="shared" ca="1" si="23"/>
        <v>46442</v>
      </c>
      <c r="BI390" s="206">
        <f t="shared" ca="1" si="24"/>
        <v>1</v>
      </c>
      <c r="BJ390" s="501">
        <f t="shared" ca="1" si="22"/>
        <v>46442</v>
      </c>
      <c r="BK390" s="91"/>
      <c r="BL390" s="91"/>
      <c r="BM390" s="91"/>
      <c r="BN390" s="91"/>
      <c r="BO390" s="91"/>
      <c r="BP390" s="91"/>
      <c r="BQ390" s="91"/>
      <c r="BR390" s="91"/>
      <c r="BS390" s="91"/>
      <c r="BT390" s="499"/>
    </row>
    <row r="391" spans="56:72">
      <c r="BD391" s="499"/>
      <c r="BE391" s="91"/>
      <c r="BF391" s="91"/>
      <c r="BG391" s="91"/>
      <c r="BH391" s="88">
        <f t="shared" ca="1" si="23"/>
        <v>46443</v>
      </c>
      <c r="BI391" s="206">
        <f t="shared" ca="1" si="24"/>
        <v>1</v>
      </c>
      <c r="BJ391" s="501">
        <f t="shared" ca="1" si="22"/>
        <v>46443</v>
      </c>
      <c r="BK391" s="91"/>
      <c r="BL391" s="91"/>
      <c r="BM391" s="91"/>
      <c r="BN391" s="91"/>
      <c r="BO391" s="91"/>
      <c r="BP391" s="91"/>
      <c r="BQ391" s="91"/>
      <c r="BR391" s="91"/>
      <c r="BS391" s="91"/>
      <c r="BT391" s="499"/>
    </row>
    <row r="392" spans="56:72">
      <c r="BD392" s="499"/>
      <c r="BE392" s="91"/>
      <c r="BF392" s="91"/>
      <c r="BG392" s="91"/>
      <c r="BH392" s="88">
        <f t="shared" ca="1" si="23"/>
        <v>46444</v>
      </c>
      <c r="BI392" s="206">
        <f t="shared" ca="1" si="24"/>
        <v>1</v>
      </c>
      <c r="BJ392" s="501">
        <f t="shared" ca="1" si="22"/>
        <v>46444</v>
      </c>
      <c r="BK392" s="91"/>
      <c r="BL392" s="91"/>
      <c r="BM392" s="91"/>
      <c r="BN392" s="91"/>
      <c r="BO392" s="91"/>
      <c r="BP392" s="91"/>
      <c r="BQ392" s="91"/>
      <c r="BR392" s="91"/>
      <c r="BS392" s="91"/>
      <c r="BT392" s="499"/>
    </row>
    <row r="393" spans="56:72">
      <c r="BD393" s="499"/>
      <c r="BE393" s="91"/>
      <c r="BF393" s="91"/>
      <c r="BG393" s="91"/>
      <c r="BH393" s="88">
        <f t="shared" ca="1" si="23"/>
        <v>46445</v>
      </c>
      <c r="BI393" s="206">
        <f t="shared" ca="1" si="24"/>
        <v>1</v>
      </c>
      <c r="BJ393" s="501">
        <f t="shared" ca="1" si="22"/>
        <v>46445</v>
      </c>
      <c r="BK393" s="91"/>
      <c r="BL393" s="91"/>
      <c r="BM393" s="91"/>
      <c r="BN393" s="91"/>
      <c r="BO393" s="91"/>
      <c r="BP393" s="91"/>
      <c r="BQ393" s="91"/>
      <c r="BR393" s="91"/>
      <c r="BS393" s="91"/>
      <c r="BT393" s="499"/>
    </row>
    <row r="394" spans="56:72">
      <c r="BD394" s="499"/>
      <c r="BE394" s="91"/>
      <c r="BF394" s="91"/>
      <c r="BG394" s="91"/>
      <c r="BH394" s="88">
        <f t="shared" ca="1" si="23"/>
        <v>46446</v>
      </c>
      <c r="BI394" s="206">
        <f t="shared" ca="1" si="24"/>
        <v>1</v>
      </c>
      <c r="BJ394" s="501">
        <f t="shared" ca="1" si="22"/>
        <v>46446</v>
      </c>
      <c r="BK394" s="91"/>
      <c r="BL394" s="91"/>
      <c r="BM394" s="91"/>
      <c r="BN394" s="91"/>
      <c r="BO394" s="91"/>
      <c r="BP394" s="91"/>
      <c r="BQ394" s="91"/>
      <c r="BR394" s="91"/>
      <c r="BS394" s="91"/>
      <c r="BT394" s="499"/>
    </row>
    <row r="395" spans="56:72">
      <c r="BD395" s="499"/>
      <c r="BE395" s="91"/>
      <c r="BF395" s="91"/>
      <c r="BG395" s="91"/>
      <c r="BH395" s="88">
        <f t="shared" ca="1" si="23"/>
        <v>46447</v>
      </c>
      <c r="BI395" s="206" t="str">
        <f t="shared" ref="BI395:BI408" ca="1" si="25">IF(TEXT(BH395,"ddddd")="maandag","",1)</f>
        <v/>
      </c>
      <c r="BJ395" s="501" t="str">
        <f t="shared" ca="1" si="22"/>
        <v/>
      </c>
      <c r="BK395" s="91"/>
      <c r="BL395" s="91"/>
      <c r="BM395" s="91"/>
      <c r="BN395" s="91"/>
      <c r="BO395" s="91"/>
      <c r="BP395" s="91"/>
      <c r="BQ395" s="91"/>
      <c r="BR395" s="91"/>
      <c r="BS395" s="91"/>
      <c r="BT395" s="499"/>
    </row>
    <row r="396" spans="56:72">
      <c r="BD396" s="499"/>
      <c r="BE396" s="91"/>
      <c r="BF396" s="91"/>
      <c r="BG396" s="91"/>
      <c r="BH396" s="88">
        <f t="shared" ca="1" si="23"/>
        <v>46448</v>
      </c>
      <c r="BI396" s="206">
        <f t="shared" ca="1" si="25"/>
        <v>1</v>
      </c>
      <c r="BJ396" s="501">
        <f t="shared" ca="1" si="22"/>
        <v>46448</v>
      </c>
      <c r="BK396" s="91"/>
      <c r="BL396" s="91"/>
      <c r="BM396" s="91"/>
      <c r="BN396" s="91"/>
      <c r="BO396" s="91"/>
      <c r="BP396" s="91"/>
      <c r="BQ396" s="91"/>
      <c r="BR396" s="91"/>
      <c r="BS396" s="91"/>
      <c r="BT396" s="499"/>
    </row>
    <row r="397" spans="56:72">
      <c r="BD397" s="499"/>
      <c r="BE397" s="91"/>
      <c r="BF397" s="91"/>
      <c r="BG397" s="91"/>
      <c r="BH397" s="88">
        <f t="shared" ca="1" si="23"/>
        <v>46449</v>
      </c>
      <c r="BI397" s="206">
        <f t="shared" ca="1" si="25"/>
        <v>1</v>
      </c>
      <c r="BJ397" s="501">
        <f t="shared" ca="1" si="22"/>
        <v>46449</v>
      </c>
      <c r="BK397" s="91"/>
      <c r="BL397" s="91"/>
      <c r="BM397" s="91"/>
      <c r="BN397" s="91"/>
      <c r="BO397" s="91"/>
      <c r="BP397" s="91"/>
      <c r="BQ397" s="91"/>
      <c r="BR397" s="91"/>
      <c r="BS397" s="91"/>
      <c r="BT397" s="499"/>
    </row>
    <row r="398" spans="56:72">
      <c r="BD398" s="499"/>
      <c r="BE398" s="91"/>
      <c r="BF398" s="91"/>
      <c r="BG398" s="91"/>
      <c r="BH398" s="88">
        <f t="shared" ca="1" si="23"/>
        <v>46450</v>
      </c>
      <c r="BI398" s="206">
        <f t="shared" ca="1" si="25"/>
        <v>1</v>
      </c>
      <c r="BJ398" s="501">
        <f t="shared" ca="1" si="22"/>
        <v>46450</v>
      </c>
      <c r="BK398" s="91"/>
      <c r="BL398" s="91"/>
      <c r="BM398" s="91"/>
      <c r="BN398" s="91"/>
      <c r="BO398" s="91"/>
      <c r="BP398" s="91"/>
      <c r="BQ398" s="91"/>
      <c r="BR398" s="91"/>
      <c r="BS398" s="91"/>
      <c r="BT398" s="499"/>
    </row>
    <row r="399" spans="56:72">
      <c r="BD399" s="499"/>
      <c r="BE399" s="91"/>
      <c r="BF399" s="91"/>
      <c r="BG399" s="91"/>
      <c r="BH399" s="88">
        <f t="shared" ca="1" si="23"/>
        <v>46451</v>
      </c>
      <c r="BI399" s="206">
        <f t="shared" ca="1" si="25"/>
        <v>1</v>
      </c>
      <c r="BJ399" s="501">
        <f t="shared" ca="1" si="22"/>
        <v>46451</v>
      </c>
      <c r="BK399" s="91"/>
      <c r="BL399" s="91"/>
      <c r="BM399" s="91"/>
      <c r="BN399" s="91"/>
      <c r="BO399" s="91"/>
      <c r="BP399" s="91"/>
      <c r="BQ399" s="91"/>
      <c r="BR399" s="91"/>
      <c r="BS399" s="91"/>
      <c r="BT399" s="499"/>
    </row>
    <row r="400" spans="56:72">
      <c r="BD400" s="499"/>
      <c r="BE400" s="91"/>
      <c r="BF400" s="91"/>
      <c r="BG400" s="91"/>
      <c r="BH400" s="88">
        <f t="shared" ca="1" si="23"/>
        <v>46452</v>
      </c>
      <c r="BI400" s="206">
        <f t="shared" ca="1" si="25"/>
        <v>1</v>
      </c>
      <c r="BJ400" s="501">
        <f t="shared" ca="1" si="22"/>
        <v>46452</v>
      </c>
      <c r="BK400" s="91"/>
      <c r="BL400" s="91"/>
      <c r="BM400" s="91"/>
      <c r="BN400" s="91"/>
      <c r="BO400" s="91"/>
      <c r="BP400" s="91"/>
      <c r="BQ400" s="91"/>
      <c r="BR400" s="91"/>
      <c r="BS400" s="91"/>
      <c r="BT400" s="499"/>
    </row>
    <row r="401" spans="56:72">
      <c r="BD401" s="499"/>
      <c r="BE401" s="91"/>
      <c r="BF401" s="91"/>
      <c r="BG401" s="91"/>
      <c r="BH401" s="88">
        <f t="shared" ca="1" si="23"/>
        <v>46453</v>
      </c>
      <c r="BI401" s="206">
        <f t="shared" ca="1" si="25"/>
        <v>1</v>
      </c>
      <c r="BJ401" s="501">
        <f t="shared" ca="1" si="22"/>
        <v>46453</v>
      </c>
      <c r="BK401" s="91"/>
      <c r="BL401" s="91"/>
      <c r="BM401" s="91"/>
      <c r="BN401" s="91"/>
      <c r="BO401" s="91"/>
      <c r="BP401" s="91"/>
      <c r="BQ401" s="91"/>
      <c r="BR401" s="91"/>
      <c r="BS401" s="91"/>
      <c r="BT401" s="499"/>
    </row>
    <row r="402" spans="56:72">
      <c r="BD402" s="499"/>
      <c r="BE402" s="91"/>
      <c r="BF402" s="91"/>
      <c r="BG402" s="91"/>
      <c r="BH402" s="88">
        <f t="shared" ca="1" si="23"/>
        <v>46454</v>
      </c>
      <c r="BI402" s="206" t="str">
        <f t="shared" ca="1" si="25"/>
        <v/>
      </c>
      <c r="BJ402" s="501" t="str">
        <f t="shared" ca="1" si="22"/>
        <v/>
      </c>
      <c r="BK402" s="91"/>
      <c r="BL402" s="91"/>
      <c r="BM402" s="91"/>
      <c r="BN402" s="91"/>
      <c r="BO402" s="91"/>
      <c r="BP402" s="91"/>
      <c r="BQ402" s="91"/>
      <c r="BR402" s="91"/>
      <c r="BS402" s="91"/>
      <c r="BT402" s="499"/>
    </row>
    <row r="403" spans="56:72">
      <c r="BD403" s="499"/>
      <c r="BE403" s="91"/>
      <c r="BF403" s="91"/>
      <c r="BG403" s="91"/>
      <c r="BH403" s="88">
        <f t="shared" ca="1" si="23"/>
        <v>46455</v>
      </c>
      <c r="BI403" s="206">
        <f t="shared" ca="1" si="25"/>
        <v>1</v>
      </c>
      <c r="BJ403" s="501">
        <f t="shared" ref="BJ403:BJ408" ca="1" si="26">IF(BI403=1,BH403,"")</f>
        <v>46455</v>
      </c>
      <c r="BK403" s="91"/>
      <c r="BL403" s="91"/>
      <c r="BM403" s="91"/>
      <c r="BN403" s="91"/>
      <c r="BO403" s="91"/>
      <c r="BP403" s="91"/>
      <c r="BQ403" s="91"/>
      <c r="BR403" s="91"/>
      <c r="BS403" s="91"/>
      <c r="BT403" s="499"/>
    </row>
    <row r="404" spans="56:72">
      <c r="BD404" s="499"/>
      <c r="BE404" s="91"/>
      <c r="BF404" s="91"/>
      <c r="BG404" s="91"/>
      <c r="BH404" s="88">
        <f t="shared" ca="1" si="23"/>
        <v>46456</v>
      </c>
      <c r="BI404" s="206">
        <f t="shared" ca="1" si="25"/>
        <v>1</v>
      </c>
      <c r="BJ404" s="501">
        <f t="shared" ca="1" si="26"/>
        <v>46456</v>
      </c>
      <c r="BK404" s="91"/>
      <c r="BL404" s="91"/>
      <c r="BM404" s="91"/>
      <c r="BN404" s="91"/>
      <c r="BO404" s="91"/>
      <c r="BP404" s="91"/>
      <c r="BQ404" s="91"/>
      <c r="BR404" s="91"/>
      <c r="BS404" s="91"/>
      <c r="BT404" s="499"/>
    </row>
    <row r="405" spans="56:72">
      <c r="BD405" s="499"/>
      <c r="BE405" s="91"/>
      <c r="BF405" s="91"/>
      <c r="BG405" s="91"/>
      <c r="BH405" s="88">
        <f t="shared" ca="1" si="23"/>
        <v>46457</v>
      </c>
      <c r="BI405" s="206">
        <f t="shared" ca="1" si="25"/>
        <v>1</v>
      </c>
      <c r="BJ405" s="501">
        <f t="shared" ca="1" si="26"/>
        <v>46457</v>
      </c>
      <c r="BK405" s="91"/>
      <c r="BL405" s="91"/>
      <c r="BM405" s="91"/>
      <c r="BN405" s="91"/>
      <c r="BO405" s="91"/>
      <c r="BP405" s="91"/>
      <c r="BQ405" s="91"/>
      <c r="BR405" s="91"/>
      <c r="BS405" s="91"/>
      <c r="BT405" s="499"/>
    </row>
    <row r="406" spans="56:72">
      <c r="BD406" s="499"/>
      <c r="BE406" s="91"/>
      <c r="BF406" s="91"/>
      <c r="BG406" s="91"/>
      <c r="BH406" s="88">
        <f t="shared" ca="1" si="23"/>
        <v>46458</v>
      </c>
      <c r="BI406" s="206">
        <f t="shared" ca="1" si="25"/>
        <v>1</v>
      </c>
      <c r="BJ406" s="501">
        <f t="shared" ca="1" si="26"/>
        <v>46458</v>
      </c>
      <c r="BK406" s="91"/>
      <c r="BL406" s="91"/>
      <c r="BM406" s="91"/>
      <c r="BN406" s="91"/>
      <c r="BO406" s="91"/>
      <c r="BP406" s="91"/>
      <c r="BQ406" s="91"/>
      <c r="BR406" s="91"/>
      <c r="BS406" s="91"/>
      <c r="BT406" s="499"/>
    </row>
    <row r="407" spans="56:72">
      <c r="BD407" s="499"/>
      <c r="BE407" s="91"/>
      <c r="BF407" s="91"/>
      <c r="BG407" s="91"/>
      <c r="BH407" s="88">
        <f t="shared" ca="1" si="23"/>
        <v>46459</v>
      </c>
      <c r="BI407" s="206">
        <f t="shared" ca="1" si="25"/>
        <v>1</v>
      </c>
      <c r="BJ407" s="501">
        <f t="shared" ca="1" si="26"/>
        <v>46459</v>
      </c>
      <c r="BK407" s="91"/>
      <c r="BL407" s="91"/>
      <c r="BM407" s="91"/>
      <c r="BN407" s="91"/>
      <c r="BO407" s="91"/>
      <c r="BP407" s="91"/>
      <c r="BQ407" s="91"/>
      <c r="BR407" s="91"/>
      <c r="BS407" s="91"/>
      <c r="BT407" s="499"/>
    </row>
    <row r="408" spans="56:72">
      <c r="BD408" s="499"/>
      <c r="BE408" s="91"/>
      <c r="BF408" s="91"/>
      <c r="BG408" s="91"/>
      <c r="BH408" s="88">
        <f t="shared" ca="1" si="23"/>
        <v>46460</v>
      </c>
      <c r="BI408" s="206">
        <f t="shared" ca="1" si="25"/>
        <v>1</v>
      </c>
      <c r="BJ408" s="501">
        <f t="shared" ca="1" si="26"/>
        <v>46460</v>
      </c>
      <c r="BK408" s="91"/>
      <c r="BL408" s="91"/>
      <c r="BM408" s="91"/>
      <c r="BN408" s="91"/>
      <c r="BO408" s="91"/>
      <c r="BP408" s="91"/>
      <c r="BQ408" s="91"/>
      <c r="BR408" s="91"/>
      <c r="BS408" s="91"/>
      <c r="BT408" s="499"/>
    </row>
    <row r="409" spans="56:72">
      <c r="BD409" s="499"/>
      <c r="BE409" s="91"/>
      <c r="BF409" s="91"/>
      <c r="BG409" s="91"/>
      <c r="BH409" s="88"/>
      <c r="BI409" s="65"/>
      <c r="BJ409" s="501"/>
      <c r="BK409" s="91"/>
      <c r="BL409" s="91"/>
      <c r="BM409" s="91"/>
      <c r="BN409" s="91"/>
      <c r="BO409" s="91"/>
      <c r="BP409" s="91"/>
      <c r="BQ409" s="91"/>
      <c r="BR409" s="91"/>
      <c r="BS409" s="91"/>
      <c r="BT409" s="499"/>
    </row>
    <row r="410" spans="56:72">
      <c r="BD410" s="499"/>
      <c r="BE410" s="91"/>
      <c r="BF410" s="91"/>
      <c r="BG410" s="91"/>
      <c r="BH410" s="88"/>
      <c r="BI410" s="65"/>
      <c r="BJ410" s="501" t="str">
        <f>IF(BI409=1,BH409,"")</f>
        <v/>
      </c>
      <c r="BK410" s="91"/>
      <c r="BL410" s="91"/>
      <c r="BM410" s="91"/>
      <c r="BN410" s="91"/>
      <c r="BO410" s="91"/>
      <c r="BP410" s="91"/>
      <c r="BQ410" s="91"/>
      <c r="BR410" s="91"/>
      <c r="BS410" s="91"/>
      <c r="BT410" s="499"/>
    </row>
    <row r="411" spans="56:72">
      <c r="BD411" s="499"/>
      <c r="BE411" s="91"/>
      <c r="BF411" s="91"/>
      <c r="BG411" s="91"/>
      <c r="BH411" s="88"/>
      <c r="BI411" s="65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499"/>
    </row>
    <row r="412" spans="56:72">
      <c r="BD412" s="499"/>
      <c r="BE412" s="91"/>
      <c r="BF412" s="91"/>
      <c r="BG412" s="91"/>
      <c r="BH412" s="88"/>
      <c r="BI412" s="65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499"/>
    </row>
    <row r="413" spans="56:72">
      <c r="BD413" s="499"/>
      <c r="BE413" s="91"/>
      <c r="BF413" s="91"/>
      <c r="BG413" s="91"/>
      <c r="BH413" s="88"/>
      <c r="BI413" s="65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499"/>
    </row>
    <row r="414" spans="56:72">
      <c r="BD414" s="499"/>
      <c r="BE414" s="91"/>
      <c r="BF414" s="91"/>
      <c r="BG414" s="91"/>
      <c r="BH414" s="88"/>
      <c r="BI414" s="65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499"/>
    </row>
    <row r="415" spans="56:72">
      <c r="BD415" s="499"/>
      <c r="BE415" s="91"/>
      <c r="BF415" s="91"/>
      <c r="BG415" s="91"/>
      <c r="BH415" s="88"/>
      <c r="BI415" s="65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499"/>
    </row>
    <row r="416" spans="56:72">
      <c r="BD416" s="499"/>
      <c r="BE416" s="91"/>
      <c r="BF416" s="91"/>
      <c r="BG416" s="91"/>
      <c r="BH416" s="88"/>
      <c r="BI416" s="65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499"/>
    </row>
    <row r="417" spans="56:72">
      <c r="BD417" s="499"/>
      <c r="BE417" s="91"/>
      <c r="BF417" s="91"/>
      <c r="BG417" s="91"/>
      <c r="BH417" s="88"/>
      <c r="BI417" s="65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499"/>
    </row>
    <row r="418" spans="56:72">
      <c r="BD418" s="499"/>
      <c r="BE418" s="91"/>
      <c r="BF418" s="91"/>
      <c r="BG418" s="91"/>
      <c r="BH418" s="88"/>
      <c r="BI418" s="65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499"/>
    </row>
    <row r="419" spans="56:72">
      <c r="BD419" s="499"/>
      <c r="BE419" s="91"/>
      <c r="BF419" s="91"/>
      <c r="BG419" s="91"/>
      <c r="BH419" s="88"/>
      <c r="BI419" s="65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499"/>
    </row>
    <row r="420" spans="56:72">
      <c r="BD420" s="499"/>
      <c r="BE420" s="91"/>
      <c r="BF420" s="91"/>
      <c r="BG420" s="91"/>
      <c r="BH420" s="88"/>
      <c r="BI420" s="65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499"/>
    </row>
    <row r="421" spans="56:72">
      <c r="BD421" s="499"/>
      <c r="BE421" s="91"/>
      <c r="BF421" s="91"/>
      <c r="BG421" s="91"/>
      <c r="BH421" s="88"/>
      <c r="BI421" s="65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499"/>
    </row>
    <row r="422" spans="56:72">
      <c r="BD422" s="499"/>
      <c r="BE422" s="91"/>
      <c r="BF422" s="91"/>
      <c r="BG422" s="91"/>
      <c r="BH422" s="88"/>
      <c r="BI422" s="65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499"/>
    </row>
    <row r="423" spans="56:72">
      <c r="BD423" s="499"/>
      <c r="BE423" s="91"/>
      <c r="BF423" s="91"/>
      <c r="BG423" s="91"/>
      <c r="BH423" s="88"/>
      <c r="BI423" s="65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499"/>
    </row>
    <row r="424" spans="56:72">
      <c r="BD424" s="499"/>
      <c r="BE424" s="91"/>
      <c r="BF424" s="91"/>
      <c r="BG424" s="91"/>
      <c r="BH424" s="88"/>
      <c r="BI424" s="65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499"/>
    </row>
    <row r="425" spans="56:72">
      <c r="BD425" s="499"/>
      <c r="BE425" s="91"/>
      <c r="BF425" s="91"/>
      <c r="BG425" s="91"/>
      <c r="BH425" s="88"/>
      <c r="BI425" s="65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499"/>
    </row>
    <row r="426" spans="56:72">
      <c r="BD426" s="499"/>
      <c r="BE426" s="91"/>
      <c r="BF426" s="91"/>
      <c r="BG426" s="91"/>
      <c r="BH426" s="88"/>
      <c r="BI426" s="65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499"/>
    </row>
    <row r="427" spans="56:72">
      <c r="BD427" s="499"/>
      <c r="BE427" s="91"/>
      <c r="BF427" s="91"/>
      <c r="BG427" s="91"/>
      <c r="BH427" s="88"/>
      <c r="BI427" s="65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499"/>
    </row>
    <row r="428" spans="56:72">
      <c r="BD428" s="499"/>
      <c r="BE428" s="91"/>
      <c r="BF428" s="91"/>
      <c r="BG428" s="91"/>
      <c r="BH428" s="88"/>
      <c r="BI428" s="65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499"/>
    </row>
    <row r="429" spans="56:72">
      <c r="BD429" s="499"/>
      <c r="BE429" s="91"/>
      <c r="BF429" s="91"/>
      <c r="BG429" s="91"/>
      <c r="BH429" s="88"/>
      <c r="BI429" s="65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499"/>
    </row>
    <row r="430" spans="56:72">
      <c r="BD430" s="499"/>
      <c r="BE430" s="91"/>
      <c r="BF430" s="91"/>
      <c r="BG430" s="91"/>
      <c r="BH430" s="88"/>
      <c r="BI430" s="65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499"/>
    </row>
    <row r="431" spans="56:72">
      <c r="BD431" s="499"/>
      <c r="BE431" s="91"/>
      <c r="BF431" s="91"/>
      <c r="BG431" s="91"/>
      <c r="BH431" s="88"/>
      <c r="BI431" s="65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499"/>
    </row>
    <row r="432" spans="56:72">
      <c r="BD432" s="499"/>
      <c r="BE432" s="91"/>
      <c r="BF432" s="91"/>
      <c r="BG432" s="91"/>
      <c r="BH432" s="88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499"/>
    </row>
    <row r="433" spans="56:72">
      <c r="BD433" s="499"/>
      <c r="BE433" s="91"/>
      <c r="BF433" s="91"/>
      <c r="BG433" s="91"/>
      <c r="BH433" s="88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499"/>
    </row>
    <row r="434" spans="56:72">
      <c r="BD434" s="499"/>
      <c r="BE434" s="91"/>
      <c r="BF434" s="91"/>
      <c r="BG434" s="91"/>
      <c r="BH434" s="88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499"/>
    </row>
    <row r="435" spans="56:72">
      <c r="BD435" s="499"/>
      <c r="BE435" s="91"/>
      <c r="BF435" s="91"/>
      <c r="BG435" s="91"/>
      <c r="BH435" s="88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499"/>
    </row>
    <row r="436" spans="56:72">
      <c r="BD436" s="499"/>
      <c r="BE436" s="91"/>
      <c r="BF436" s="91"/>
      <c r="BG436" s="91"/>
      <c r="BH436" s="88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499"/>
    </row>
    <row r="437" spans="56:72">
      <c r="BD437" s="499"/>
      <c r="BE437" s="91"/>
      <c r="BF437" s="91"/>
      <c r="BG437" s="91"/>
      <c r="BH437" s="88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499"/>
    </row>
    <row r="438" spans="56:72">
      <c r="BD438" s="499"/>
      <c r="BE438" s="91"/>
      <c r="BF438" s="91"/>
      <c r="BG438" s="91"/>
      <c r="BH438" s="88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499"/>
    </row>
    <row r="439" spans="56:72">
      <c r="BD439" s="499"/>
      <c r="BE439" s="91"/>
      <c r="BF439" s="91"/>
      <c r="BG439" s="91"/>
      <c r="BH439" s="88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499"/>
    </row>
    <row r="440" spans="56:72">
      <c r="BD440" s="499"/>
      <c r="BE440" s="91"/>
      <c r="BF440" s="91"/>
      <c r="BG440" s="91"/>
      <c r="BH440" s="88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499"/>
    </row>
    <row r="441" spans="56:72">
      <c r="BD441" s="499"/>
      <c r="BE441" s="91"/>
      <c r="BF441" s="91"/>
      <c r="BG441" s="91"/>
      <c r="BH441" s="88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499"/>
    </row>
    <row r="442" spans="56:72">
      <c r="BD442" s="499"/>
      <c r="BE442" s="91"/>
      <c r="BF442" s="91"/>
      <c r="BG442" s="91"/>
      <c r="BH442" s="88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499"/>
    </row>
    <row r="443" spans="56:72">
      <c r="BD443" s="499"/>
      <c r="BE443" s="91"/>
      <c r="BF443" s="91"/>
      <c r="BG443" s="91"/>
      <c r="BH443" s="88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499"/>
    </row>
    <row r="444" spans="56:72">
      <c r="BD444" s="499"/>
      <c r="BE444" s="91"/>
      <c r="BF444" s="91"/>
      <c r="BG444" s="91"/>
      <c r="BH444" s="88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499"/>
    </row>
    <row r="445" spans="56:72">
      <c r="BD445" s="499"/>
      <c r="BE445" s="91"/>
      <c r="BF445" s="91"/>
      <c r="BG445" s="91"/>
      <c r="BH445" s="88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499"/>
    </row>
    <row r="446" spans="56:72">
      <c r="BD446" s="499"/>
      <c r="BE446" s="91"/>
      <c r="BF446" s="91"/>
      <c r="BG446" s="91"/>
      <c r="BH446" s="88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499"/>
    </row>
    <row r="447" spans="56:72">
      <c r="BD447" s="499"/>
      <c r="BE447" s="91"/>
      <c r="BF447" s="91"/>
      <c r="BG447" s="91"/>
      <c r="BH447" s="88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499"/>
    </row>
    <row r="448" spans="56:72">
      <c r="BD448" s="499"/>
      <c r="BE448" s="91"/>
      <c r="BF448" s="91"/>
      <c r="BG448" s="91"/>
      <c r="BH448" s="88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499"/>
    </row>
    <row r="449" spans="56:72">
      <c r="BD449" s="499"/>
      <c r="BE449" s="91"/>
      <c r="BF449" s="91"/>
      <c r="BG449" s="91"/>
      <c r="BH449" s="88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499"/>
    </row>
    <row r="450" spans="56:72">
      <c r="BD450" s="499"/>
      <c r="BE450" s="91"/>
      <c r="BF450" s="91"/>
      <c r="BG450" s="91"/>
      <c r="BH450" s="88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499"/>
    </row>
    <row r="451" spans="56:72">
      <c r="BD451" s="499"/>
      <c r="BE451" s="91"/>
      <c r="BF451" s="91"/>
      <c r="BG451" s="91"/>
      <c r="BH451" s="88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499"/>
    </row>
    <row r="452" spans="56:72">
      <c r="BD452" s="499"/>
      <c r="BE452" s="91"/>
      <c r="BF452" s="91"/>
      <c r="BG452" s="91"/>
      <c r="BH452" s="88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499"/>
    </row>
    <row r="453" spans="56:72">
      <c r="BD453" s="499"/>
      <c r="BE453" s="91"/>
      <c r="BF453" s="91"/>
      <c r="BG453" s="91"/>
      <c r="BH453" s="88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499"/>
    </row>
    <row r="454" spans="56:72">
      <c r="BD454" s="499"/>
      <c r="BE454" s="91"/>
      <c r="BF454" s="91"/>
      <c r="BG454" s="91"/>
      <c r="BH454" s="88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499"/>
    </row>
    <row r="455" spans="56:72">
      <c r="BD455" s="499"/>
      <c r="BE455" s="91"/>
      <c r="BF455" s="91"/>
      <c r="BG455" s="91"/>
      <c r="BH455" s="88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499"/>
    </row>
    <row r="456" spans="56:72">
      <c r="BD456" s="499"/>
      <c r="BE456" s="91"/>
      <c r="BF456" s="91"/>
      <c r="BG456" s="91"/>
      <c r="BH456" s="88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499"/>
    </row>
    <row r="457" spans="56:72">
      <c r="BD457" s="499"/>
      <c r="BE457" s="91"/>
      <c r="BF457" s="91"/>
      <c r="BG457" s="91"/>
      <c r="BH457" s="88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499"/>
    </row>
    <row r="458" spans="56:72">
      <c r="BD458" s="499"/>
      <c r="BE458" s="91"/>
      <c r="BF458" s="91"/>
      <c r="BG458" s="91"/>
      <c r="BH458" s="88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499"/>
    </row>
    <row r="459" spans="56:72">
      <c r="BD459" s="499"/>
      <c r="BE459" s="91"/>
      <c r="BF459" s="91"/>
      <c r="BG459" s="91"/>
      <c r="BH459" s="88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499"/>
    </row>
    <row r="460" spans="56:72">
      <c r="BD460" s="499"/>
      <c r="BE460" s="91"/>
      <c r="BF460" s="91"/>
      <c r="BG460" s="91"/>
      <c r="BH460" s="88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499"/>
    </row>
    <row r="461" spans="56:72">
      <c r="BD461" s="499"/>
      <c r="BE461" s="91"/>
      <c r="BF461" s="91"/>
      <c r="BG461" s="91"/>
      <c r="BH461" s="88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499"/>
    </row>
    <row r="462" spans="56:72">
      <c r="BD462" s="499"/>
      <c r="BE462" s="91"/>
      <c r="BF462" s="91"/>
      <c r="BG462" s="91"/>
      <c r="BH462" s="88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499"/>
    </row>
    <row r="463" spans="56:72">
      <c r="BD463" s="499"/>
      <c r="BE463" s="91"/>
      <c r="BF463" s="91"/>
      <c r="BG463" s="91"/>
      <c r="BH463" s="88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499"/>
    </row>
    <row r="464" spans="56:72">
      <c r="BD464" s="499"/>
      <c r="BE464" s="91"/>
      <c r="BF464" s="91"/>
      <c r="BG464" s="91"/>
      <c r="BH464" s="88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499"/>
    </row>
    <row r="465" spans="56:72">
      <c r="BD465" s="499"/>
      <c r="BE465" s="91"/>
      <c r="BF465" s="91"/>
      <c r="BG465" s="91"/>
      <c r="BH465" s="88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499"/>
    </row>
    <row r="466" spans="56:72">
      <c r="BD466" s="499"/>
      <c r="BE466" s="91"/>
      <c r="BF466" s="91"/>
      <c r="BG466" s="91"/>
      <c r="BH466" s="88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499"/>
    </row>
    <row r="467" spans="56:72">
      <c r="BD467" s="499"/>
      <c r="BE467" s="91"/>
      <c r="BF467" s="91"/>
      <c r="BG467" s="91"/>
      <c r="BH467" s="88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499"/>
    </row>
    <row r="468" spans="56:72">
      <c r="BD468" s="499"/>
      <c r="BE468" s="91"/>
      <c r="BF468" s="91"/>
      <c r="BG468" s="91"/>
      <c r="BH468" s="88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499"/>
    </row>
    <row r="469" spans="56:72">
      <c r="BD469" s="499"/>
      <c r="BE469" s="91"/>
      <c r="BF469" s="91"/>
      <c r="BG469" s="91"/>
      <c r="BH469" s="88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499"/>
    </row>
    <row r="470" spans="56:72">
      <c r="BD470" s="499"/>
      <c r="BE470" s="91"/>
      <c r="BF470" s="91"/>
      <c r="BG470" s="91"/>
      <c r="BH470" s="88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499"/>
    </row>
    <row r="471" spans="56:72">
      <c r="BD471" s="499"/>
      <c r="BE471" s="91"/>
      <c r="BF471" s="91"/>
      <c r="BG471" s="91"/>
      <c r="BH471" s="88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499"/>
    </row>
    <row r="472" spans="56:72">
      <c r="BD472" s="499"/>
      <c r="BE472" s="91"/>
      <c r="BF472" s="91"/>
      <c r="BG472" s="91"/>
      <c r="BH472" s="88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499"/>
    </row>
    <row r="473" spans="56:72">
      <c r="BD473" s="499"/>
      <c r="BE473" s="91"/>
      <c r="BF473" s="91"/>
      <c r="BG473" s="91"/>
      <c r="BH473" s="88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499"/>
    </row>
    <row r="474" spans="56:72">
      <c r="BD474" s="499"/>
      <c r="BE474" s="91"/>
      <c r="BF474" s="91"/>
      <c r="BG474" s="91"/>
      <c r="BH474" s="88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499"/>
    </row>
    <row r="475" spans="56:72">
      <c r="BD475" s="499"/>
      <c r="BE475" s="91"/>
      <c r="BF475" s="91"/>
      <c r="BG475" s="91"/>
      <c r="BH475" s="88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499"/>
    </row>
    <row r="476" spans="56:72">
      <c r="BD476" s="499"/>
      <c r="BE476" s="91"/>
      <c r="BF476" s="91"/>
      <c r="BG476" s="91"/>
      <c r="BH476" s="88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499"/>
    </row>
    <row r="477" spans="56:72">
      <c r="BD477" s="499"/>
      <c r="BE477" s="91"/>
      <c r="BF477" s="91"/>
      <c r="BG477" s="91"/>
      <c r="BH477" s="88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499"/>
    </row>
    <row r="478" spans="56:72">
      <c r="BD478" s="499"/>
      <c r="BE478" s="91"/>
      <c r="BF478" s="91"/>
      <c r="BG478" s="91"/>
      <c r="BH478" s="88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499"/>
    </row>
    <row r="479" spans="56:72">
      <c r="BD479" s="499"/>
      <c r="BE479" s="91"/>
      <c r="BF479" s="91"/>
      <c r="BG479" s="91"/>
      <c r="BH479" s="88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499"/>
    </row>
    <row r="480" spans="56:72">
      <c r="BD480" s="499"/>
      <c r="BE480" s="91"/>
      <c r="BF480" s="91"/>
      <c r="BG480" s="91"/>
      <c r="BH480" s="88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499"/>
    </row>
    <row r="481" spans="56:72">
      <c r="BD481" s="499"/>
      <c r="BE481" s="91"/>
      <c r="BF481" s="91"/>
      <c r="BG481" s="91"/>
      <c r="BH481" s="88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499"/>
    </row>
    <row r="482" spans="56:72">
      <c r="BD482" s="499"/>
      <c r="BE482" s="91"/>
      <c r="BF482" s="91"/>
      <c r="BG482" s="91"/>
      <c r="BH482" s="88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499"/>
    </row>
    <row r="483" spans="56:72">
      <c r="BE483" s="91"/>
      <c r="BF483" s="91"/>
      <c r="BG483" s="91"/>
      <c r="BH483" s="88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</row>
    <row r="484" spans="56:72">
      <c r="BE484" s="91"/>
      <c r="BF484" s="91"/>
      <c r="BG484" s="91"/>
      <c r="BH484" s="88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</row>
    <row r="485" spans="56:72">
      <c r="BE485" s="91"/>
      <c r="BF485" s="91"/>
      <c r="BG485" s="91"/>
      <c r="BH485" s="88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</row>
    <row r="486" spans="56:72">
      <c r="BE486" s="91"/>
      <c r="BF486" s="91"/>
      <c r="BG486" s="91"/>
      <c r="BH486" s="88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</row>
    <row r="487" spans="56:72">
      <c r="BE487" s="91"/>
      <c r="BF487" s="91"/>
      <c r="BG487" s="91"/>
      <c r="BH487" s="88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</row>
    <row r="488" spans="56:72">
      <c r="BE488" s="91"/>
      <c r="BF488" s="91"/>
      <c r="BG488" s="91"/>
      <c r="BH488" s="88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</row>
    <row r="489" spans="56:72">
      <c r="BE489" s="91"/>
      <c r="BF489" s="91"/>
      <c r="BG489" s="91"/>
      <c r="BH489" s="88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</row>
    <row r="490" spans="56:72">
      <c r="BE490" s="91"/>
      <c r="BF490" s="91"/>
      <c r="BG490" s="91"/>
      <c r="BH490" s="88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</row>
    <row r="491" spans="56:72">
      <c r="BE491" s="91"/>
      <c r="BF491" s="91"/>
      <c r="BG491" s="91"/>
      <c r="BH491" s="88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</row>
    <row r="492" spans="56:72">
      <c r="BE492" s="91"/>
      <c r="BF492" s="91"/>
      <c r="BG492" s="91"/>
      <c r="BH492" s="88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</row>
    <row r="493" spans="56:72">
      <c r="BE493" s="91"/>
      <c r="BF493" s="91"/>
      <c r="BG493" s="91"/>
      <c r="BH493" s="88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</row>
    <row r="494" spans="56:72">
      <c r="BE494" s="91"/>
      <c r="BF494" s="91"/>
      <c r="BG494" s="91"/>
      <c r="BH494" s="88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</row>
    <row r="495" spans="56:72">
      <c r="BE495" s="91"/>
      <c r="BF495" s="91"/>
      <c r="BG495" s="91"/>
      <c r="BH495" s="88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</row>
    <row r="496" spans="56:72">
      <c r="BE496" s="91"/>
      <c r="BF496" s="91"/>
      <c r="BG496" s="91"/>
      <c r="BH496" s="88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</row>
    <row r="497" spans="57:71">
      <c r="BE497" s="91"/>
      <c r="BF497" s="91"/>
      <c r="BG497" s="91"/>
      <c r="BH497" s="88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</row>
    <row r="498" spans="57:71">
      <c r="BE498" s="91"/>
      <c r="BF498" s="91"/>
      <c r="BG498" s="91"/>
      <c r="BH498" s="88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</row>
    <row r="499" spans="57:71">
      <c r="BE499" s="91"/>
      <c r="BF499" s="91"/>
      <c r="BG499" s="91"/>
      <c r="BH499" s="88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</row>
    <row r="500" spans="57:71">
      <c r="BE500" s="91"/>
      <c r="BF500" s="91"/>
      <c r="BG500" s="91"/>
      <c r="BH500" s="88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</row>
    <row r="501" spans="57:71">
      <c r="BE501" s="91"/>
      <c r="BF501" s="91"/>
      <c r="BG501" s="91"/>
      <c r="BH501" s="88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</row>
    <row r="502" spans="57:71">
      <c r="BE502" s="91"/>
      <c r="BF502" s="91"/>
      <c r="BG502" s="91"/>
      <c r="BH502" s="88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</row>
    <row r="503" spans="57:71">
      <c r="BE503" s="91"/>
      <c r="BF503" s="91"/>
      <c r="BG503" s="91"/>
      <c r="BH503" s="88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</row>
    <row r="504" spans="57:71">
      <c r="BE504" s="91"/>
      <c r="BF504" s="91"/>
      <c r="BG504" s="91"/>
      <c r="BH504" s="88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</row>
    <row r="505" spans="57:71">
      <c r="BE505" s="91"/>
      <c r="BF505" s="91"/>
      <c r="BG505" s="91"/>
      <c r="BH505" s="88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</row>
    <row r="506" spans="57:71">
      <c r="BE506" s="91"/>
      <c r="BF506" s="91"/>
      <c r="BG506" s="91"/>
      <c r="BH506" s="88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</row>
    <row r="507" spans="57:71">
      <c r="BE507" s="91"/>
      <c r="BF507" s="91"/>
      <c r="BG507" s="91"/>
      <c r="BH507" s="88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</row>
    <row r="508" spans="57:71">
      <c r="BE508" s="91"/>
      <c r="BF508" s="91"/>
      <c r="BG508" s="91"/>
      <c r="BH508" s="88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</row>
    <row r="509" spans="57:71">
      <c r="BE509" s="91"/>
      <c r="BF509" s="91"/>
      <c r="BG509" s="91"/>
      <c r="BH509" s="88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</row>
    <row r="510" spans="57:71">
      <c r="BE510" s="91"/>
      <c r="BF510" s="91"/>
      <c r="BG510" s="91"/>
      <c r="BH510" s="88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</row>
    <row r="511" spans="57:71">
      <c r="BE511" s="91"/>
      <c r="BF511" s="91"/>
      <c r="BG511" s="91"/>
      <c r="BH511" s="88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</row>
    <row r="512" spans="57:71">
      <c r="BE512" s="91"/>
      <c r="BF512" s="91"/>
      <c r="BG512" s="91"/>
      <c r="BH512" s="88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</row>
    <row r="513" spans="57:71">
      <c r="BE513" s="91"/>
      <c r="BF513" s="91"/>
      <c r="BG513" s="91"/>
      <c r="BH513" s="88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</row>
    <row r="514" spans="57:71">
      <c r="BE514" s="91"/>
      <c r="BF514" s="91"/>
      <c r="BG514" s="91"/>
      <c r="BH514" s="88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</row>
    <row r="515" spans="57:71">
      <c r="BE515" s="91"/>
      <c r="BF515" s="91"/>
      <c r="BG515" s="91"/>
      <c r="BH515" s="88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</row>
    <row r="516" spans="57:71">
      <c r="BE516" s="91"/>
      <c r="BF516" s="91"/>
      <c r="BG516" s="91"/>
      <c r="BH516" s="88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</row>
    <row r="517" spans="57:71">
      <c r="BE517" s="91"/>
      <c r="BF517" s="91"/>
      <c r="BG517" s="91"/>
      <c r="BH517" s="88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</row>
    <row r="518" spans="57:71">
      <c r="BE518" s="91"/>
      <c r="BF518" s="91"/>
      <c r="BG518" s="91"/>
      <c r="BH518" s="88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</row>
    <row r="519" spans="57:71">
      <c r="BE519" s="91"/>
      <c r="BF519" s="91"/>
      <c r="BG519" s="91"/>
      <c r="BH519" s="88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</row>
    <row r="520" spans="57:71">
      <c r="BE520" s="91"/>
      <c r="BF520" s="91"/>
      <c r="BG520" s="91"/>
      <c r="BH520" s="88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</row>
    <row r="521" spans="57:71">
      <c r="BE521" s="91"/>
      <c r="BF521" s="91"/>
      <c r="BG521" s="91"/>
      <c r="BH521" s="88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</row>
    <row r="522" spans="57:71">
      <c r="BE522" s="91"/>
      <c r="BF522" s="91"/>
      <c r="BG522" s="91"/>
      <c r="BH522" s="88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</row>
    <row r="523" spans="57:71">
      <c r="BE523" s="91"/>
      <c r="BF523" s="91"/>
      <c r="BG523" s="91"/>
      <c r="BH523" s="88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</row>
    <row r="524" spans="57:71">
      <c r="BE524" s="91"/>
      <c r="BF524" s="91"/>
      <c r="BG524" s="91"/>
      <c r="BH524" s="88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</row>
    <row r="525" spans="57:71">
      <c r="BE525" s="91"/>
      <c r="BF525" s="91"/>
      <c r="BG525" s="91"/>
      <c r="BH525" s="88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</row>
    <row r="526" spans="57:71">
      <c r="BE526" s="91"/>
      <c r="BF526" s="91"/>
      <c r="BG526" s="91"/>
      <c r="BH526" s="88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</row>
    <row r="527" spans="57:71">
      <c r="BE527" s="91"/>
      <c r="BF527" s="91"/>
      <c r="BG527" s="91"/>
      <c r="BH527" s="88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</row>
    <row r="528" spans="57:71">
      <c r="BE528" s="91"/>
      <c r="BF528" s="91"/>
      <c r="BG528" s="91"/>
      <c r="BH528" s="88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</row>
    <row r="529" spans="57:71">
      <c r="BE529" s="91"/>
      <c r="BF529" s="91"/>
      <c r="BG529" s="91"/>
      <c r="BH529" s="88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</row>
    <row r="530" spans="57:71">
      <c r="BE530" s="91"/>
      <c r="BF530" s="91"/>
      <c r="BG530" s="91"/>
      <c r="BH530" s="88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</row>
    <row r="531" spans="57:71">
      <c r="BE531" s="91"/>
      <c r="BF531" s="91"/>
      <c r="BG531" s="91"/>
      <c r="BH531" s="88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</row>
    <row r="532" spans="57:71">
      <c r="BE532" s="91"/>
      <c r="BF532" s="91"/>
      <c r="BG532" s="91"/>
      <c r="BH532" s="88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</row>
    <row r="533" spans="57:71">
      <c r="BE533" s="91"/>
      <c r="BF533" s="91"/>
      <c r="BG533" s="91"/>
      <c r="BH533" s="88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</row>
    <row r="534" spans="57:71">
      <c r="BE534" s="91"/>
      <c r="BF534" s="91"/>
      <c r="BG534" s="91"/>
      <c r="BH534" s="88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</row>
    <row r="535" spans="57:71">
      <c r="BE535" s="91"/>
      <c r="BF535" s="91"/>
      <c r="BG535" s="91"/>
      <c r="BH535" s="88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</row>
    <row r="536" spans="57:71">
      <c r="BE536" s="91"/>
      <c r="BF536" s="91"/>
      <c r="BG536" s="91"/>
      <c r="BH536" s="88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</row>
    <row r="537" spans="57:71">
      <c r="BE537" s="91"/>
      <c r="BF537" s="91"/>
      <c r="BG537" s="91"/>
      <c r="BH537" s="88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</row>
    <row r="538" spans="57:71">
      <c r="BE538" s="91"/>
      <c r="BF538" s="91"/>
      <c r="BG538" s="91"/>
      <c r="BH538" s="88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</row>
    <row r="539" spans="57:71">
      <c r="BE539" s="91"/>
      <c r="BF539" s="91"/>
      <c r="BG539" s="91"/>
      <c r="BH539" s="88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</row>
    <row r="540" spans="57:71">
      <c r="BE540" s="91"/>
      <c r="BF540" s="91"/>
      <c r="BG540" s="91"/>
      <c r="BH540" s="88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</row>
    <row r="541" spans="57:71">
      <c r="BE541" s="91"/>
      <c r="BF541" s="91"/>
      <c r="BG541" s="91"/>
      <c r="BH541" s="88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</row>
    <row r="542" spans="57:71">
      <c r="BE542" s="91"/>
      <c r="BF542" s="91"/>
      <c r="BG542" s="91"/>
      <c r="BH542" s="88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</row>
    <row r="543" spans="57:71">
      <c r="BE543" s="91"/>
      <c r="BF543" s="91"/>
      <c r="BG543" s="91"/>
      <c r="BH543" s="88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</row>
    <row r="544" spans="57:71">
      <c r="BE544" s="91"/>
      <c r="BF544" s="91"/>
      <c r="BG544" s="91"/>
      <c r="BH544" s="88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</row>
    <row r="545" spans="57:71">
      <c r="BE545" s="91"/>
      <c r="BF545" s="91"/>
      <c r="BG545" s="91"/>
      <c r="BH545" s="88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</row>
    <row r="546" spans="57:71">
      <c r="BE546" s="91"/>
      <c r="BF546" s="91"/>
      <c r="BG546" s="91"/>
      <c r="BH546" s="88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</row>
    <row r="547" spans="57:71">
      <c r="BE547" s="91"/>
      <c r="BF547" s="91"/>
      <c r="BG547" s="91"/>
      <c r="BH547" s="88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</row>
    <row r="548" spans="57:71">
      <c r="BE548" s="91"/>
      <c r="BF548" s="91"/>
      <c r="BG548" s="91"/>
      <c r="BH548" s="88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</row>
    <row r="549" spans="57:71">
      <c r="BE549" s="91"/>
      <c r="BF549" s="91"/>
      <c r="BG549" s="91"/>
      <c r="BH549" s="88"/>
      <c r="BI549" s="91"/>
      <c r="BJ549" s="91"/>
    </row>
    <row r="550" spans="57:71">
      <c r="BE550" s="91"/>
      <c r="BF550" s="91"/>
      <c r="BG550" s="91"/>
      <c r="BH550" s="88"/>
      <c r="BI550" s="91"/>
      <c r="BJ550" s="91"/>
    </row>
    <row r="551" spans="57:71">
      <c r="BE551" s="91"/>
      <c r="BF551" s="91"/>
      <c r="BG551" s="91"/>
      <c r="BH551" s="88"/>
      <c r="BI551" s="91"/>
      <c r="BJ551" s="91"/>
    </row>
    <row r="552" spans="57:71">
      <c r="BE552" s="91"/>
      <c r="BF552" s="91"/>
      <c r="BG552" s="91"/>
      <c r="BH552" s="88"/>
      <c r="BI552" s="91"/>
      <c r="BJ552" s="91"/>
    </row>
    <row r="553" spans="57:71">
      <c r="BE553" s="91"/>
      <c r="BF553" s="91"/>
      <c r="BG553" s="91"/>
      <c r="BH553" s="88"/>
      <c r="BI553" s="91"/>
      <c r="BJ553" s="91"/>
    </row>
    <row r="554" spans="57:71">
      <c r="BE554" s="91"/>
      <c r="BF554" s="91"/>
      <c r="BG554" s="91"/>
      <c r="BH554" s="88"/>
      <c r="BI554" s="91"/>
      <c r="BJ554" s="91"/>
    </row>
    <row r="555" spans="57:71">
      <c r="BE555" s="91"/>
      <c r="BF555" s="91"/>
      <c r="BG555" s="91"/>
      <c r="BH555" s="88"/>
      <c r="BI555" s="91"/>
      <c r="BJ555" s="91"/>
    </row>
    <row r="556" spans="57:71">
      <c r="BE556" s="91"/>
      <c r="BF556" s="91"/>
      <c r="BG556" s="91"/>
      <c r="BH556" s="88"/>
      <c r="BI556" s="91"/>
      <c r="BJ556" s="91"/>
    </row>
    <row r="557" spans="57:71">
      <c r="BE557" s="91"/>
      <c r="BF557" s="91"/>
      <c r="BG557" s="91"/>
      <c r="BH557" s="88"/>
      <c r="BI557" s="91"/>
      <c r="BJ557" s="91"/>
    </row>
    <row r="558" spans="57:71">
      <c r="BE558" s="91"/>
      <c r="BF558" s="91"/>
      <c r="BG558" s="91"/>
      <c r="BH558" s="88"/>
      <c r="BI558" s="91"/>
      <c r="BJ558" s="91"/>
    </row>
    <row r="559" spans="57:71">
      <c r="BE559" s="91"/>
      <c r="BF559" s="91"/>
      <c r="BG559" s="91"/>
      <c r="BH559" s="88"/>
      <c r="BI559" s="91"/>
      <c r="BJ559" s="91"/>
    </row>
    <row r="560" spans="57:71">
      <c r="BE560" s="91"/>
      <c r="BF560" s="91"/>
      <c r="BG560" s="91"/>
      <c r="BH560" s="88"/>
      <c r="BI560" s="91"/>
      <c r="BJ560" s="91"/>
    </row>
    <row r="561" spans="57:62">
      <c r="BE561" s="91"/>
      <c r="BF561" s="91"/>
      <c r="BG561" s="91"/>
      <c r="BH561" s="88"/>
      <c r="BI561" s="91"/>
      <c r="BJ561" s="91"/>
    </row>
    <row r="562" spans="57:62">
      <c r="BE562" s="91"/>
      <c r="BF562" s="91"/>
      <c r="BG562" s="91"/>
      <c r="BH562" s="88"/>
      <c r="BI562" s="91"/>
      <c r="BJ562" s="91"/>
    </row>
    <row r="563" spans="57:62">
      <c r="BE563" s="91"/>
      <c r="BF563" s="91"/>
      <c r="BG563" s="91"/>
      <c r="BH563" s="88"/>
      <c r="BI563" s="91"/>
      <c r="BJ563" s="91"/>
    </row>
    <row r="564" spans="57:62">
      <c r="BE564" s="91"/>
      <c r="BF564" s="91"/>
      <c r="BG564" s="91"/>
      <c r="BH564" s="88"/>
      <c r="BI564" s="91"/>
      <c r="BJ564" s="91"/>
    </row>
    <row r="565" spans="57:62">
      <c r="BE565" s="91"/>
      <c r="BF565" s="91"/>
      <c r="BG565" s="91"/>
      <c r="BH565" s="88"/>
      <c r="BI565" s="91"/>
      <c r="BJ565" s="91"/>
    </row>
    <row r="566" spans="57:62">
      <c r="BE566" s="91"/>
      <c r="BF566" s="91"/>
      <c r="BG566" s="91"/>
      <c r="BH566" s="88"/>
      <c r="BI566" s="91"/>
      <c r="BJ566" s="91"/>
    </row>
    <row r="567" spans="57:62">
      <c r="BE567" s="91"/>
      <c r="BF567" s="91"/>
      <c r="BG567" s="91"/>
      <c r="BH567" s="88"/>
      <c r="BI567" s="91"/>
      <c r="BJ567" s="91"/>
    </row>
    <row r="568" spans="57:62">
      <c r="BE568" s="91"/>
      <c r="BF568" s="91"/>
      <c r="BG568" s="91"/>
      <c r="BH568" s="88"/>
      <c r="BI568" s="91"/>
      <c r="BJ568" s="91"/>
    </row>
    <row r="569" spans="57:62">
      <c r="BE569" s="91"/>
      <c r="BF569" s="91"/>
      <c r="BG569" s="91"/>
      <c r="BH569" s="88"/>
      <c r="BI569" s="91"/>
      <c r="BJ569" s="91"/>
    </row>
    <row r="570" spans="57:62">
      <c r="BE570" s="91"/>
      <c r="BF570" s="91"/>
      <c r="BG570" s="91"/>
      <c r="BH570" s="88"/>
      <c r="BI570" s="91"/>
      <c r="BJ570" s="91"/>
    </row>
    <row r="571" spans="57:62">
      <c r="BE571" s="91"/>
      <c r="BF571" s="91"/>
      <c r="BG571" s="91"/>
      <c r="BH571" s="88"/>
      <c r="BI571" s="91"/>
      <c r="BJ571" s="91"/>
    </row>
    <row r="572" spans="57:62">
      <c r="BE572" s="91"/>
      <c r="BF572" s="91"/>
      <c r="BG572" s="91"/>
      <c r="BH572" s="88"/>
      <c r="BI572" s="91"/>
      <c r="BJ572" s="91"/>
    </row>
    <row r="573" spans="57:62">
      <c r="BE573" s="91"/>
      <c r="BF573" s="91"/>
      <c r="BG573" s="91"/>
      <c r="BH573" s="88"/>
      <c r="BI573" s="91"/>
      <c r="BJ573" s="91"/>
    </row>
    <row r="574" spans="57:62">
      <c r="BE574" s="91"/>
      <c r="BF574" s="91"/>
      <c r="BG574" s="91"/>
      <c r="BH574" s="88"/>
      <c r="BI574" s="91"/>
      <c r="BJ574" s="91"/>
    </row>
    <row r="575" spans="57:62">
      <c r="BE575" s="91"/>
      <c r="BF575" s="91"/>
      <c r="BG575" s="91"/>
      <c r="BH575" s="88"/>
      <c r="BI575" s="91"/>
      <c r="BJ575" s="91"/>
    </row>
    <row r="576" spans="57:62">
      <c r="BE576" s="91"/>
      <c r="BF576" s="91"/>
      <c r="BG576" s="91"/>
      <c r="BH576" s="88"/>
      <c r="BI576" s="91"/>
      <c r="BJ576" s="91"/>
    </row>
    <row r="577" spans="57:62">
      <c r="BE577" s="91"/>
      <c r="BF577" s="91"/>
      <c r="BG577" s="91"/>
      <c r="BH577" s="88"/>
      <c r="BI577" s="91"/>
      <c r="BJ577" s="91"/>
    </row>
    <row r="578" spans="57:62">
      <c r="BE578" s="91"/>
      <c r="BF578" s="91"/>
      <c r="BG578" s="91"/>
      <c r="BH578" s="88"/>
      <c r="BI578" s="91"/>
      <c r="BJ578" s="91"/>
    </row>
    <row r="579" spans="57:62">
      <c r="BE579" s="91"/>
      <c r="BF579" s="91"/>
      <c r="BG579" s="91"/>
      <c r="BH579" s="88"/>
      <c r="BI579" s="91"/>
      <c r="BJ579" s="91"/>
    </row>
    <row r="580" spans="57:62">
      <c r="BE580" s="91"/>
      <c r="BF580" s="91"/>
      <c r="BG580" s="91"/>
      <c r="BH580" s="88"/>
      <c r="BI580" s="91"/>
      <c r="BJ580" s="91"/>
    </row>
    <row r="581" spans="57:62">
      <c r="BE581" s="91"/>
      <c r="BF581" s="91"/>
      <c r="BG581" s="91"/>
      <c r="BH581" s="88"/>
      <c r="BI581" s="91"/>
      <c r="BJ581" s="91"/>
    </row>
    <row r="582" spans="57:62">
      <c r="BE582" s="91"/>
      <c r="BF582" s="91"/>
      <c r="BG582" s="91"/>
      <c r="BH582" s="88"/>
      <c r="BI582" s="91"/>
      <c r="BJ582" s="91"/>
    </row>
    <row r="583" spans="57:62">
      <c r="BE583" s="91"/>
      <c r="BF583" s="91"/>
      <c r="BG583" s="91"/>
      <c r="BH583" s="88"/>
      <c r="BI583" s="91"/>
      <c r="BJ583" s="91"/>
    </row>
    <row r="584" spans="57:62">
      <c r="BE584" s="91"/>
      <c r="BF584" s="91"/>
      <c r="BG584" s="91"/>
      <c r="BH584" s="88"/>
      <c r="BI584" s="91"/>
      <c r="BJ584" s="91"/>
    </row>
    <row r="585" spans="57:62">
      <c r="BE585" s="91"/>
      <c r="BF585" s="91"/>
      <c r="BG585" s="91"/>
      <c r="BH585" s="88"/>
      <c r="BI585" s="91"/>
      <c r="BJ585" s="91"/>
    </row>
    <row r="586" spans="57:62">
      <c r="BE586" s="91"/>
      <c r="BF586" s="91"/>
      <c r="BG586" s="91"/>
      <c r="BH586" s="88"/>
      <c r="BI586" s="91"/>
      <c r="BJ586" s="91"/>
    </row>
    <row r="587" spans="57:62">
      <c r="BE587" s="91"/>
      <c r="BF587" s="91"/>
      <c r="BG587" s="91"/>
      <c r="BH587" s="88"/>
      <c r="BI587" s="91"/>
      <c r="BJ587" s="91"/>
    </row>
    <row r="588" spans="57:62">
      <c r="BE588" s="91"/>
      <c r="BF588" s="91"/>
      <c r="BG588" s="91"/>
      <c r="BH588" s="88"/>
      <c r="BI588" s="91"/>
      <c r="BJ588" s="91"/>
    </row>
    <row r="589" spans="57:62">
      <c r="BE589" s="91"/>
      <c r="BF589" s="91"/>
      <c r="BG589" s="91"/>
      <c r="BH589" s="88"/>
      <c r="BI589" s="91"/>
      <c r="BJ589" s="91"/>
    </row>
    <row r="590" spans="57:62">
      <c r="BE590" s="91"/>
      <c r="BF590" s="91"/>
      <c r="BG590" s="91"/>
      <c r="BH590" s="88"/>
      <c r="BI590" s="91"/>
      <c r="BJ590" s="91"/>
    </row>
    <row r="591" spans="57:62">
      <c r="BE591" s="91"/>
      <c r="BF591" s="91"/>
      <c r="BG591" s="91"/>
      <c r="BH591" s="88"/>
      <c r="BI591" s="91"/>
      <c r="BJ591" s="91"/>
    </row>
    <row r="592" spans="57:62">
      <c r="BE592" s="91"/>
      <c r="BF592" s="91"/>
      <c r="BG592" s="91"/>
      <c r="BH592" s="88"/>
      <c r="BI592" s="91"/>
      <c r="BJ592" s="91"/>
    </row>
    <row r="593" spans="57:62">
      <c r="BE593" s="91"/>
      <c r="BF593" s="91"/>
      <c r="BG593" s="91"/>
      <c r="BH593" s="88"/>
      <c r="BI593" s="91"/>
      <c r="BJ593" s="91"/>
    </row>
    <row r="594" spans="57:62">
      <c r="BE594" s="91"/>
      <c r="BF594" s="91"/>
      <c r="BG594" s="91"/>
      <c r="BH594" s="88"/>
      <c r="BI594" s="91"/>
      <c r="BJ594" s="91"/>
    </row>
    <row r="595" spans="57:62">
      <c r="BE595" s="91"/>
      <c r="BF595" s="91"/>
      <c r="BG595" s="91"/>
      <c r="BH595" s="88"/>
      <c r="BI595" s="91"/>
      <c r="BJ595" s="91"/>
    </row>
    <row r="596" spans="57:62">
      <c r="BE596" s="91"/>
      <c r="BF596" s="91"/>
      <c r="BG596" s="91"/>
      <c r="BH596" s="88"/>
      <c r="BI596" s="91"/>
      <c r="BJ596" s="91"/>
    </row>
    <row r="597" spans="57:62">
      <c r="BE597" s="91"/>
      <c r="BF597" s="91"/>
      <c r="BG597" s="91"/>
      <c r="BH597" s="88"/>
      <c r="BI597" s="91"/>
      <c r="BJ597" s="91"/>
    </row>
    <row r="598" spans="57:62">
      <c r="BE598" s="91"/>
      <c r="BF598" s="91"/>
      <c r="BG598" s="91"/>
      <c r="BH598" s="88"/>
      <c r="BI598" s="91"/>
      <c r="BJ598" s="91"/>
    </row>
    <row r="599" spans="57:62">
      <c r="BE599" s="91"/>
      <c r="BF599" s="91"/>
      <c r="BG599" s="91"/>
      <c r="BH599" s="88"/>
      <c r="BI599" s="91"/>
      <c r="BJ599" s="91"/>
    </row>
    <row r="600" spans="57:62">
      <c r="BE600" s="91"/>
      <c r="BF600" s="91"/>
      <c r="BG600" s="91"/>
      <c r="BH600" s="88"/>
      <c r="BI600" s="91"/>
      <c r="BJ600" s="91"/>
    </row>
    <row r="601" spans="57:62">
      <c r="BE601" s="91"/>
      <c r="BF601" s="91"/>
      <c r="BG601" s="91"/>
      <c r="BH601" s="88"/>
      <c r="BI601" s="91"/>
      <c r="BJ601" s="91"/>
    </row>
    <row r="602" spans="57:62">
      <c r="BE602" s="91"/>
      <c r="BF602" s="91"/>
      <c r="BG602" s="91"/>
      <c r="BH602" s="88"/>
      <c r="BI602" s="91"/>
      <c r="BJ602" s="91"/>
    </row>
    <row r="603" spans="57:62">
      <c r="BE603" s="91"/>
      <c r="BF603" s="91"/>
      <c r="BG603" s="91"/>
      <c r="BH603" s="88"/>
      <c r="BI603" s="91"/>
      <c r="BJ603" s="91"/>
    </row>
    <row r="604" spans="57:62">
      <c r="BE604" s="91"/>
      <c r="BF604" s="91"/>
      <c r="BG604" s="91"/>
      <c r="BH604" s="88"/>
      <c r="BI604" s="91"/>
      <c r="BJ604" s="91"/>
    </row>
    <row r="605" spans="57:62">
      <c r="BE605" s="91"/>
      <c r="BF605" s="91"/>
      <c r="BG605" s="91"/>
      <c r="BH605" s="88"/>
      <c r="BI605" s="91"/>
      <c r="BJ605" s="91"/>
    </row>
    <row r="606" spans="57:62">
      <c r="BE606" s="91"/>
      <c r="BF606" s="91"/>
      <c r="BG606" s="91"/>
      <c r="BH606" s="88"/>
      <c r="BI606" s="91"/>
      <c r="BJ606" s="91"/>
    </row>
    <row r="607" spans="57:62">
      <c r="BE607" s="91"/>
      <c r="BF607" s="91"/>
      <c r="BG607" s="91"/>
      <c r="BH607" s="88"/>
      <c r="BI607" s="91"/>
      <c r="BJ607" s="91"/>
    </row>
    <row r="608" spans="57:62">
      <c r="BE608" s="91"/>
      <c r="BF608" s="91"/>
      <c r="BG608" s="91"/>
      <c r="BH608" s="88"/>
      <c r="BI608" s="91"/>
      <c r="BJ608" s="91"/>
    </row>
    <row r="609" spans="57:62">
      <c r="BE609" s="91"/>
      <c r="BF609" s="91"/>
      <c r="BG609" s="91"/>
      <c r="BH609" s="88"/>
      <c r="BI609" s="91"/>
      <c r="BJ609" s="91"/>
    </row>
    <row r="610" spans="57:62">
      <c r="BE610" s="91"/>
      <c r="BF610" s="91"/>
      <c r="BG610" s="91"/>
      <c r="BH610" s="88"/>
      <c r="BI610" s="91"/>
      <c r="BJ610" s="91"/>
    </row>
    <row r="611" spans="57:62">
      <c r="BE611" s="91"/>
      <c r="BF611" s="91"/>
      <c r="BG611" s="91"/>
      <c r="BH611" s="88"/>
      <c r="BI611" s="91"/>
      <c r="BJ611" s="91"/>
    </row>
    <row r="612" spans="57:62">
      <c r="BE612" s="91"/>
      <c r="BF612" s="91"/>
      <c r="BG612" s="91"/>
      <c r="BH612" s="88"/>
      <c r="BI612" s="91"/>
      <c r="BJ612" s="91"/>
    </row>
    <row r="613" spans="57:62">
      <c r="BE613" s="91"/>
      <c r="BF613" s="91"/>
      <c r="BG613" s="91"/>
      <c r="BH613" s="88"/>
      <c r="BI613" s="91"/>
      <c r="BJ613" s="91"/>
    </row>
    <row r="614" spans="57:62">
      <c r="BE614" s="91"/>
      <c r="BF614" s="91"/>
      <c r="BG614" s="91"/>
      <c r="BH614" s="88"/>
      <c r="BI614" s="91"/>
      <c r="BJ614" s="91"/>
    </row>
    <row r="615" spans="57:62">
      <c r="BE615" s="91"/>
      <c r="BF615" s="91"/>
      <c r="BG615" s="91"/>
      <c r="BH615" s="88"/>
      <c r="BI615" s="91"/>
      <c r="BJ615" s="91"/>
    </row>
    <row r="616" spans="57:62">
      <c r="BE616" s="91"/>
      <c r="BF616" s="91"/>
      <c r="BG616" s="91"/>
      <c r="BH616" s="88"/>
      <c r="BI616" s="91"/>
      <c r="BJ616" s="91"/>
    </row>
    <row r="617" spans="57:62">
      <c r="BE617" s="91"/>
      <c r="BF617" s="91"/>
      <c r="BG617" s="91"/>
      <c r="BH617" s="88"/>
      <c r="BI617" s="91"/>
      <c r="BJ617" s="91"/>
    </row>
    <row r="618" spans="57:62">
      <c r="BE618" s="91"/>
      <c r="BF618" s="91"/>
      <c r="BG618" s="91"/>
      <c r="BH618" s="88"/>
      <c r="BI618" s="91"/>
      <c r="BJ618" s="91"/>
    </row>
    <row r="619" spans="57:62">
      <c r="BE619" s="91"/>
      <c r="BF619" s="91"/>
      <c r="BG619" s="91"/>
      <c r="BH619" s="88"/>
      <c r="BI619" s="91"/>
      <c r="BJ619" s="91"/>
    </row>
    <row r="620" spans="57:62">
      <c r="BE620" s="91"/>
      <c r="BF620" s="91"/>
      <c r="BG620" s="91"/>
      <c r="BH620" s="88"/>
      <c r="BI620" s="91"/>
      <c r="BJ620" s="91"/>
    </row>
    <row r="621" spans="57:62">
      <c r="BE621" s="91"/>
      <c r="BF621" s="91"/>
      <c r="BG621" s="91"/>
      <c r="BH621" s="88"/>
      <c r="BI621" s="91"/>
      <c r="BJ621" s="91"/>
    </row>
    <row r="622" spans="57:62">
      <c r="BE622" s="91"/>
      <c r="BF622" s="91"/>
      <c r="BG622" s="91"/>
      <c r="BH622" s="88"/>
      <c r="BI622" s="91"/>
      <c r="BJ622" s="91"/>
    </row>
    <row r="623" spans="57:62">
      <c r="BE623" s="91"/>
      <c r="BF623" s="91"/>
      <c r="BG623" s="91"/>
      <c r="BH623" s="88"/>
      <c r="BI623" s="91"/>
      <c r="BJ623" s="91"/>
    </row>
    <row r="624" spans="57:62">
      <c r="BE624" s="91"/>
      <c r="BF624" s="91"/>
      <c r="BG624" s="91"/>
      <c r="BH624" s="88"/>
      <c r="BI624" s="91"/>
      <c r="BJ624" s="91"/>
    </row>
    <row r="625" spans="57:62">
      <c r="BE625" s="91"/>
      <c r="BF625" s="91"/>
      <c r="BG625" s="91"/>
      <c r="BH625" s="88"/>
      <c r="BI625" s="91"/>
      <c r="BJ625" s="91"/>
    </row>
    <row r="626" spans="57:62">
      <c r="BE626" s="91"/>
      <c r="BF626" s="91"/>
      <c r="BG626" s="91"/>
      <c r="BH626" s="88"/>
      <c r="BI626" s="91"/>
      <c r="BJ626" s="91"/>
    </row>
    <row r="627" spans="57:62">
      <c r="BE627" s="91"/>
      <c r="BF627" s="91"/>
      <c r="BG627" s="91"/>
      <c r="BH627" s="88"/>
      <c r="BI627" s="91"/>
      <c r="BJ627" s="91"/>
    </row>
    <row r="628" spans="57:62">
      <c r="BE628" s="91"/>
      <c r="BF628" s="91"/>
      <c r="BG628" s="91"/>
      <c r="BH628" s="88"/>
      <c r="BI628" s="91"/>
      <c r="BJ628" s="91"/>
    </row>
    <row r="629" spans="57:62">
      <c r="BE629" s="91"/>
      <c r="BF629" s="91"/>
      <c r="BG629" s="91"/>
      <c r="BH629" s="88"/>
      <c r="BI629" s="91"/>
      <c r="BJ629" s="91"/>
    </row>
    <row r="630" spans="57:62">
      <c r="BE630" s="91"/>
      <c r="BF630" s="91"/>
      <c r="BG630" s="91"/>
      <c r="BH630" s="88"/>
      <c r="BI630" s="91"/>
      <c r="BJ630" s="91"/>
    </row>
    <row r="631" spans="57:62">
      <c r="BE631" s="91"/>
      <c r="BF631" s="91"/>
      <c r="BG631" s="91"/>
      <c r="BH631" s="88"/>
      <c r="BI631" s="91"/>
      <c r="BJ631" s="91"/>
    </row>
    <row r="632" spans="57:62">
      <c r="BE632" s="91"/>
      <c r="BF632" s="91"/>
      <c r="BG632" s="91"/>
      <c r="BH632" s="88"/>
      <c r="BI632" s="91"/>
      <c r="BJ632" s="91"/>
    </row>
    <row r="633" spans="57:62">
      <c r="BE633" s="91"/>
      <c r="BF633" s="91"/>
      <c r="BG633" s="91"/>
      <c r="BH633" s="88"/>
      <c r="BI633" s="91"/>
      <c r="BJ633" s="91"/>
    </row>
    <row r="634" spans="57:62">
      <c r="BE634" s="91"/>
      <c r="BF634" s="91"/>
      <c r="BG634" s="91"/>
      <c r="BH634" s="88"/>
      <c r="BI634" s="91"/>
      <c r="BJ634" s="91"/>
    </row>
    <row r="635" spans="57:62">
      <c r="BE635" s="91"/>
      <c r="BF635" s="91"/>
      <c r="BG635" s="91"/>
      <c r="BH635" s="88"/>
      <c r="BI635" s="91"/>
      <c r="BJ635" s="91"/>
    </row>
    <row r="636" spans="57:62">
      <c r="BE636" s="91"/>
      <c r="BF636" s="91"/>
      <c r="BG636" s="91"/>
      <c r="BH636" s="88"/>
      <c r="BI636" s="91"/>
      <c r="BJ636" s="91"/>
    </row>
    <row r="637" spans="57:62">
      <c r="BE637" s="91"/>
      <c r="BF637" s="91"/>
      <c r="BG637" s="91"/>
      <c r="BH637" s="88"/>
      <c r="BI637" s="91"/>
      <c r="BJ637" s="91"/>
    </row>
    <row r="638" spans="57:62">
      <c r="BE638" s="91"/>
      <c r="BF638" s="91"/>
      <c r="BG638" s="91"/>
      <c r="BH638" s="88"/>
      <c r="BI638" s="91"/>
      <c r="BJ638" s="91"/>
    </row>
    <row r="639" spans="57:62">
      <c r="BE639" s="91"/>
      <c r="BF639" s="91"/>
      <c r="BG639" s="91"/>
      <c r="BH639" s="88"/>
      <c r="BI639" s="91"/>
      <c r="BJ639" s="91"/>
    </row>
    <row r="640" spans="57:62">
      <c r="BE640" s="91"/>
      <c r="BF640" s="91"/>
      <c r="BG640" s="91"/>
      <c r="BH640" s="88"/>
      <c r="BI640" s="91"/>
      <c r="BJ640" s="91"/>
    </row>
    <row r="641" spans="57:62">
      <c r="BE641" s="91"/>
      <c r="BF641" s="91"/>
      <c r="BG641" s="91"/>
      <c r="BH641" s="88"/>
      <c r="BI641" s="91"/>
      <c r="BJ641" s="91"/>
    </row>
    <row r="642" spans="57:62">
      <c r="BE642" s="91"/>
      <c r="BF642" s="91"/>
      <c r="BG642" s="91"/>
      <c r="BH642" s="88"/>
      <c r="BI642" s="91"/>
      <c r="BJ642" s="91"/>
    </row>
    <row r="643" spans="57:62">
      <c r="BE643" s="91"/>
      <c r="BF643" s="91"/>
      <c r="BG643" s="91"/>
      <c r="BH643" s="88"/>
      <c r="BI643" s="91"/>
      <c r="BJ643" s="91"/>
    </row>
    <row r="644" spans="57:62">
      <c r="BE644" s="91"/>
      <c r="BF644" s="91"/>
      <c r="BG644" s="91"/>
      <c r="BH644" s="88"/>
      <c r="BI644" s="91"/>
      <c r="BJ644" s="91"/>
    </row>
    <row r="645" spans="57:62">
      <c r="BE645" s="91"/>
      <c r="BF645" s="91"/>
      <c r="BG645" s="91"/>
      <c r="BH645" s="88"/>
      <c r="BI645" s="91"/>
      <c r="BJ645" s="91"/>
    </row>
    <row r="646" spans="57:62">
      <c r="BE646" s="91"/>
      <c r="BF646" s="91"/>
      <c r="BG646" s="91"/>
      <c r="BH646" s="88"/>
      <c r="BI646" s="91"/>
      <c r="BJ646" s="91"/>
    </row>
    <row r="647" spans="57:62">
      <c r="BE647" s="91"/>
      <c r="BF647" s="91"/>
      <c r="BG647" s="91"/>
      <c r="BH647" s="88"/>
      <c r="BI647" s="91"/>
      <c r="BJ647" s="91"/>
    </row>
    <row r="648" spans="57:62">
      <c r="BE648" s="91"/>
      <c r="BF648" s="91"/>
      <c r="BG648" s="91"/>
      <c r="BH648" s="88"/>
      <c r="BI648" s="91"/>
      <c r="BJ648" s="91"/>
    </row>
    <row r="649" spans="57:62">
      <c r="BE649" s="91"/>
      <c r="BF649" s="91"/>
      <c r="BG649" s="91"/>
      <c r="BH649" s="88"/>
      <c r="BI649" s="91"/>
      <c r="BJ649" s="91"/>
    </row>
    <row r="650" spans="57:62">
      <c r="BE650" s="91"/>
      <c r="BF650" s="91"/>
      <c r="BG650" s="91"/>
      <c r="BH650" s="88"/>
      <c r="BI650" s="91"/>
      <c r="BJ650" s="91"/>
    </row>
    <row r="651" spans="57:62">
      <c r="BE651" s="91"/>
      <c r="BF651" s="91"/>
      <c r="BG651" s="91"/>
      <c r="BH651" s="88"/>
      <c r="BI651" s="91"/>
      <c r="BJ651" s="91"/>
    </row>
    <row r="652" spans="57:62">
      <c r="BE652" s="91"/>
      <c r="BF652" s="91"/>
      <c r="BG652" s="91"/>
      <c r="BH652" s="88"/>
      <c r="BI652" s="91"/>
      <c r="BJ652" s="91"/>
    </row>
    <row r="653" spans="57:62">
      <c r="BE653" s="91"/>
      <c r="BF653" s="91"/>
      <c r="BG653" s="91"/>
      <c r="BH653" s="88"/>
      <c r="BI653" s="91"/>
      <c r="BJ653" s="91"/>
    </row>
    <row r="654" spans="57:62">
      <c r="BE654" s="91"/>
      <c r="BF654" s="91"/>
      <c r="BG654" s="91"/>
      <c r="BH654" s="88"/>
      <c r="BI654" s="91"/>
      <c r="BJ654" s="91"/>
    </row>
    <row r="655" spans="57:62">
      <c r="BE655" s="91"/>
      <c r="BF655" s="91"/>
      <c r="BG655" s="91"/>
      <c r="BH655" s="88"/>
      <c r="BI655" s="91"/>
      <c r="BJ655" s="91"/>
    </row>
    <row r="656" spans="57:62">
      <c r="BE656" s="91"/>
      <c r="BF656" s="91"/>
      <c r="BG656" s="91"/>
      <c r="BH656" s="88"/>
      <c r="BI656" s="91"/>
      <c r="BJ656" s="91"/>
    </row>
    <row r="657" spans="57:62">
      <c r="BE657" s="91"/>
      <c r="BF657" s="91"/>
      <c r="BG657" s="91"/>
      <c r="BH657" s="88"/>
      <c r="BI657" s="91"/>
      <c r="BJ657" s="91"/>
    </row>
    <row r="658" spans="57:62">
      <c r="BE658" s="91"/>
      <c r="BF658" s="91"/>
      <c r="BG658" s="91"/>
      <c r="BH658" s="88"/>
      <c r="BI658" s="91"/>
      <c r="BJ658" s="91"/>
    </row>
    <row r="659" spans="57:62">
      <c r="BE659" s="91"/>
      <c r="BF659" s="91"/>
      <c r="BG659" s="91"/>
      <c r="BH659" s="88"/>
      <c r="BI659" s="91"/>
      <c r="BJ659" s="91"/>
    </row>
    <row r="660" spans="57:62">
      <c r="BE660" s="91"/>
      <c r="BF660" s="91"/>
      <c r="BG660" s="91"/>
      <c r="BH660" s="88"/>
      <c r="BI660" s="91"/>
      <c r="BJ660" s="91"/>
    </row>
    <row r="661" spans="57:62">
      <c r="BE661" s="91"/>
      <c r="BF661" s="91"/>
      <c r="BG661" s="91"/>
      <c r="BH661" s="88"/>
      <c r="BI661" s="91"/>
      <c r="BJ661" s="91"/>
    </row>
    <row r="662" spans="57:62">
      <c r="BE662" s="91"/>
      <c r="BF662" s="91"/>
      <c r="BG662" s="91"/>
      <c r="BH662" s="88"/>
      <c r="BI662" s="91"/>
      <c r="BJ662" s="91"/>
    </row>
    <row r="663" spans="57:62">
      <c r="BE663" s="91"/>
      <c r="BF663" s="91"/>
      <c r="BG663" s="91"/>
      <c r="BH663" s="88"/>
      <c r="BI663" s="91"/>
      <c r="BJ663" s="91"/>
    </row>
    <row r="664" spans="57:62">
      <c r="BE664" s="91"/>
      <c r="BF664" s="91"/>
      <c r="BG664" s="91"/>
      <c r="BH664" s="88"/>
      <c r="BI664" s="91"/>
      <c r="BJ664" s="91"/>
    </row>
    <row r="665" spans="57:62">
      <c r="BE665" s="91"/>
      <c r="BF665" s="91"/>
      <c r="BG665" s="91"/>
      <c r="BH665" s="88"/>
      <c r="BI665" s="91"/>
      <c r="BJ665" s="91"/>
    </row>
    <row r="666" spans="57:62">
      <c r="BE666" s="91"/>
      <c r="BF666" s="91"/>
      <c r="BG666" s="91"/>
      <c r="BH666" s="88"/>
      <c r="BI666" s="91"/>
      <c r="BJ666" s="91"/>
    </row>
    <row r="667" spans="57:62">
      <c r="BE667" s="91"/>
      <c r="BF667" s="91"/>
      <c r="BG667" s="91"/>
      <c r="BH667" s="88"/>
      <c r="BI667" s="91"/>
      <c r="BJ667" s="91"/>
    </row>
    <row r="668" spans="57:62">
      <c r="BE668" s="409"/>
      <c r="BF668" s="409"/>
      <c r="BG668" s="409"/>
      <c r="BH668" s="574"/>
      <c r="BI668" s="409"/>
      <c r="BJ668" s="409"/>
    </row>
    <row r="669" spans="57:62">
      <c r="BE669" s="409"/>
      <c r="BF669" s="409"/>
      <c r="BG669" s="409"/>
      <c r="BH669" s="574"/>
      <c r="BI669" s="409"/>
      <c r="BJ669" s="409"/>
    </row>
    <row r="670" spans="57:62">
      <c r="BE670" s="409"/>
      <c r="BF670" s="409"/>
      <c r="BG670" s="409"/>
      <c r="BH670" s="574"/>
      <c r="BI670" s="409"/>
      <c r="BJ670" s="409"/>
    </row>
    <row r="671" spans="57:62">
      <c r="BE671" s="409"/>
      <c r="BF671" s="409"/>
      <c r="BG671" s="409"/>
      <c r="BH671" s="574"/>
      <c r="BI671" s="409"/>
      <c r="BJ671" s="409"/>
    </row>
    <row r="672" spans="57:62">
      <c r="BE672" s="409"/>
      <c r="BF672" s="409"/>
      <c r="BG672" s="409"/>
      <c r="BH672" s="574"/>
      <c r="BI672" s="409"/>
      <c r="BJ672" s="409"/>
    </row>
    <row r="673" spans="57:62">
      <c r="BE673" s="409"/>
      <c r="BF673" s="409"/>
      <c r="BG673" s="409"/>
      <c r="BH673" s="574"/>
      <c r="BI673" s="409"/>
      <c r="BJ673" s="409"/>
    </row>
    <row r="674" spans="57:62">
      <c r="BE674" s="409"/>
      <c r="BF674" s="409"/>
      <c r="BG674" s="409"/>
      <c r="BH674" s="574"/>
      <c r="BI674" s="409"/>
      <c r="BJ674" s="409"/>
    </row>
    <row r="675" spans="57:62">
      <c r="BE675" s="409"/>
      <c r="BF675" s="409"/>
      <c r="BG675" s="409"/>
      <c r="BH675" s="574"/>
      <c r="BI675" s="409"/>
      <c r="BJ675" s="409"/>
    </row>
    <row r="676" spans="57:62">
      <c r="BH676" s="49"/>
    </row>
    <row r="677" spans="57:62">
      <c r="BH677" s="49"/>
    </row>
  </sheetData>
  <sheetProtection algorithmName="SHA-512" hashValue="wNoE4u0b+VzO0COh+Xu/J+QVglni7564dDJTn0LLQF4l2xcqSqLLxFgeus+mdliO/Szweg/WAn/3WbkgTc4eqQ==" saltValue="Rsr1CglmH50lAoqRZBeANw==" spinCount="100000" sheet="1" objects="1" scenarios="1"/>
  <protectedRanges>
    <protectedRange sqref="T19:AF22" name="Bereik14_1"/>
    <protectedRange sqref="T3:AI5" name="Bereik1_1_1"/>
    <protectedRange sqref="T12:X12" name="Bereik5_2_1"/>
    <protectedRange sqref="T15:AD16" name="Bereik6_1_1"/>
    <protectedRange sqref="T24:AL24" name="Bereik11_1_1"/>
    <protectedRange sqref="AG19:AQ22" name="Bereik9_1_1"/>
    <protectedRange sqref="T23:AD23" name="Bereik10_1_1"/>
    <protectedRange sqref="T18:AD18" name="Bereik8_1_1_1"/>
    <protectedRange sqref="T17:AM17" name="Bereik7_1_1_1"/>
    <protectedRange sqref="T6:AC7" name="Bereik2_1_1_1_1"/>
    <protectedRange sqref="T8:AD9" name="Bereik3_1_1_1_1"/>
    <protectedRange sqref="T10:AA10" name="Bereik12_1_1_1"/>
    <protectedRange sqref="T11:X11" name="Bereik5_1_1_1"/>
    <protectedRange sqref="AF7:AQ7" name="Bereik13_1"/>
  </protectedRanges>
  <mergeCells count="71">
    <mergeCell ref="T1:AQ1"/>
    <mergeCell ref="T3:AI3"/>
    <mergeCell ref="T2:AQ2"/>
    <mergeCell ref="T6:AC6"/>
    <mergeCell ref="T9:AD9"/>
    <mergeCell ref="AE8:AJ8"/>
    <mergeCell ref="AE9:AJ9"/>
    <mergeCell ref="T7:AC7"/>
    <mergeCell ref="AF7:AQ7"/>
    <mergeCell ref="AR10:AV10"/>
    <mergeCell ref="T15:AD15"/>
    <mergeCell ref="T16:AD16"/>
    <mergeCell ref="AU24:AY24"/>
    <mergeCell ref="T11:X11"/>
    <mergeCell ref="Y11:AA11"/>
    <mergeCell ref="AE15:AQ15"/>
    <mergeCell ref="AE16:AQ16"/>
    <mergeCell ref="T13:AQ13"/>
    <mergeCell ref="AB11:AV11"/>
    <mergeCell ref="T20:AF20"/>
    <mergeCell ref="T10:AA10"/>
    <mergeCell ref="AE10:AJ10"/>
    <mergeCell ref="Y12:AA12"/>
    <mergeCell ref="T12:X12"/>
    <mergeCell ref="AB12:AV12"/>
    <mergeCell ref="BE37:BJ38"/>
    <mergeCell ref="BK37:BP38"/>
    <mergeCell ref="AL33:AQ34"/>
    <mergeCell ref="AF35:AK36"/>
    <mergeCell ref="AL35:AQ36"/>
    <mergeCell ref="BK33:BP34"/>
    <mergeCell ref="BE35:BJ36"/>
    <mergeCell ref="BK35:BP36"/>
    <mergeCell ref="BE33:BJ34"/>
    <mergeCell ref="AF33:AK34"/>
    <mergeCell ref="AU25:AY25"/>
    <mergeCell ref="I15:S15"/>
    <mergeCell ref="T17:AM17"/>
    <mergeCell ref="T18:AF18"/>
    <mergeCell ref="T19:AF19"/>
    <mergeCell ref="T23:AF23"/>
    <mergeCell ref="I16:S16"/>
    <mergeCell ref="F63:AJ63"/>
    <mergeCell ref="K34:S34"/>
    <mergeCell ref="T34:V34"/>
    <mergeCell ref="K35:S35"/>
    <mergeCell ref="Y35:AC35"/>
    <mergeCell ref="I33:S33"/>
    <mergeCell ref="T24:AL24"/>
    <mergeCell ref="I17:S17"/>
    <mergeCell ref="I24:S24"/>
    <mergeCell ref="I23:S23"/>
    <mergeCell ref="I18:S18"/>
    <mergeCell ref="I19:S19"/>
    <mergeCell ref="T25:AO26"/>
    <mergeCell ref="AD14:AQ14"/>
    <mergeCell ref="I3:S3"/>
    <mergeCell ref="AM24:AQ24"/>
    <mergeCell ref="I4:S4"/>
    <mergeCell ref="I7:S7"/>
    <mergeCell ref="I10:S10"/>
    <mergeCell ref="I6:S6"/>
    <mergeCell ref="I5:S5"/>
    <mergeCell ref="I8:S8"/>
    <mergeCell ref="T8:AD8"/>
    <mergeCell ref="T5:AI5"/>
    <mergeCell ref="T4:AI4"/>
    <mergeCell ref="I11:S11"/>
    <mergeCell ref="T14:AC14"/>
    <mergeCell ref="T21:AF21"/>
    <mergeCell ref="T22:AF22"/>
  </mergeCells>
  <conditionalFormatting sqref="BK33:BP34">
    <cfRule type="containsText" dxfId="342" priority="3918" operator="containsText" text="vul">
      <formula>NOT(ISERROR(SEARCH("vul",BK33)))</formula>
    </cfRule>
  </conditionalFormatting>
  <conditionalFormatting sqref="AA33:AE33">
    <cfRule type="containsText" dxfId="341" priority="3901" operator="containsText" text="lever">
      <formula>NOT(ISERROR(SEARCH("lever",AA33)))</formula>
    </cfRule>
  </conditionalFormatting>
  <conditionalFormatting sqref="AU17:AY17 BJ17:BN17">
    <cfRule type="containsText" dxfId="340" priority="3810" operator="containsText" text="vul km. in">
      <formula>NOT(ISERROR(SEARCH("vul km. in",AU17)))</formula>
    </cfRule>
  </conditionalFormatting>
  <conditionalFormatting sqref="T25">
    <cfRule type="containsText" dxfId="339" priority="3751" operator="containsText" text="GA PAS DOOR ALS DEZE BALK GROEN KLEURT">
      <formula>NOT(ISERROR(SEARCH("GA PAS DOOR ALS DEZE BALK GROEN KLEURT",T25)))</formula>
    </cfRule>
  </conditionalFormatting>
  <conditionalFormatting sqref="AR10:AV10">
    <cfRule type="cellIs" dxfId="338" priority="3726" operator="greaterThan">
      <formula>0</formula>
    </cfRule>
  </conditionalFormatting>
  <conditionalFormatting sqref="Y11">
    <cfRule type="cellIs" dxfId="337" priority="3678" operator="notEqual">
      <formula>""</formula>
    </cfRule>
  </conditionalFormatting>
  <conditionalFormatting sqref="T13:AQ13">
    <cfRule type="containsText" dxfId="336" priority="3671" operator="containsText" text="Vanwege organisatorische redenen hebben wij VASTE afhaal- en bezorgtijden.">
      <formula>NOT(ISERROR(SEARCH("Vanwege organisatorische redenen hebben wij VASTE afhaal- en bezorgtijden.",T13)))</formula>
    </cfRule>
  </conditionalFormatting>
  <conditionalFormatting sqref="B12">
    <cfRule type="iconSet" priority="3663">
      <iconSet iconSet="3TrafficLights2">
        <cfvo type="percent" val="0"/>
        <cfvo type="percent" val="0"/>
        <cfvo type="percent" val="5"/>
      </iconSet>
    </cfRule>
  </conditionalFormatting>
  <conditionalFormatting sqref="T25">
    <cfRule type="containsText" dxfId="335" priority="3661" operator="containsText" text="GA DOOR NAAR STAP 2 ---&gt; BESTELLEN">
      <formula>NOT(ISERROR(SEARCH("GA DOOR NAAR STAP 2 ---&gt; BESTELLEN",T25)))</formula>
    </cfRule>
  </conditionalFormatting>
  <conditionalFormatting sqref="T2:AQ2">
    <cfRule type="containsText" dxfId="334" priority="3595" operator="containsText" text="Ga door naar stap 2 ---&gt; Bestellen">
      <formula>NOT(ISERROR(SEARCH("Ga door naar stap 2 ---&gt; Bestellen",T2)))</formula>
    </cfRule>
    <cfRule type="containsText" dxfId="333" priority="3658" operator="containsText" text="vul  A L L E  bestelgegevens in">
      <formula>NOT(ISERROR(SEARCH("vul  A L L E  bestelgegevens in",T2)))</formula>
    </cfRule>
  </conditionalFormatting>
  <conditionalFormatting sqref="AE8:AJ8">
    <cfRule type="containsText" dxfId="332" priority="3604" operator="containsText" text="Bezorgkosten">
      <formula>NOT(ISERROR(SEARCH("Bezorgkosten",AE8)))</formula>
    </cfRule>
  </conditionalFormatting>
  <conditionalFormatting sqref="T8:AD8">
    <cfRule type="containsText" dxfId="331" priority="815" operator="containsText" text="Vul bezorgadres in">
      <formula>NOT(ISERROR(SEARCH("Vul bezorgadres in",T8)))</formula>
    </cfRule>
  </conditionalFormatting>
  <conditionalFormatting sqref="T16:AD16">
    <cfRule type="cellIs" dxfId="330" priority="584" operator="notEqual">
      <formula>"E-mail"</formula>
    </cfRule>
  </conditionalFormatting>
  <conditionalFormatting sqref="T15:AD15">
    <cfRule type="cellIs" dxfId="329" priority="583" operator="notEqual">
      <formula>"telefoon"</formula>
    </cfRule>
  </conditionalFormatting>
  <conditionalFormatting sqref="T17 Y12:AA12">
    <cfRule type="cellIs" dxfId="328" priority="576" operator="notEqual">
      <formula>""</formula>
    </cfRule>
  </conditionalFormatting>
  <conditionalFormatting sqref="T17:AM17">
    <cfRule type="containsText" dxfId="327" priority="575" operator="containsText" text="MAAK KEUZE Betaalwijze">
      <formula>NOT(ISERROR(SEARCH("MAAK KEUZE Betaalwijze",T17)))</formula>
    </cfRule>
  </conditionalFormatting>
  <conditionalFormatting sqref="T23">
    <cfRule type="cellIs" dxfId="326" priority="554" operator="equal">
      <formula>""</formula>
    </cfRule>
    <cfRule type="cellIs" dxfId="325" priority="555" operator="notEqual">
      <formula>"Kostenplaats op factuur"</formula>
    </cfRule>
    <cfRule type="containsText" dxfId="324" priority="556" operator="containsText" text="kostenplaats op factuur">
      <formula>NOT(ISERROR(SEARCH("kostenplaats op factuur",T23)))</formula>
    </cfRule>
  </conditionalFormatting>
  <conditionalFormatting sqref="T24">
    <cfRule type="cellIs" dxfId="323" priority="551" operator="equal">
      <formula>""</formula>
    </cfRule>
    <cfRule type="cellIs" dxfId="322" priority="552" operator="notEqual">
      <formula>"omschrijving op factuur"</formula>
    </cfRule>
    <cfRule type="containsText" dxfId="321" priority="553" operator="containsText" text="omschrijving op factuur">
      <formula>NOT(ISERROR(SEARCH("omschrijving op factuur",T24)))</formula>
    </cfRule>
  </conditionalFormatting>
  <conditionalFormatting sqref="T18">
    <cfRule type="cellIs" dxfId="320" priority="503" operator="equal">
      <formula>""</formula>
    </cfRule>
    <cfRule type="cellIs" dxfId="319" priority="504" operator="notEqual">
      <formula>"Naam op factuur"</formula>
    </cfRule>
    <cfRule type="containsText" dxfId="318" priority="505" operator="containsText" text="naam op factuur">
      <formula>NOT(ISERROR(SEARCH("naam op factuur",T18)))</formula>
    </cfRule>
  </conditionalFormatting>
  <conditionalFormatting sqref="T9:AD9">
    <cfRule type="cellIs" dxfId="317" priority="281" operator="equal">
      <formula>"Vul plaats bezorgen in"</formula>
    </cfRule>
  </conditionalFormatting>
  <conditionalFormatting sqref="T3:AI3">
    <cfRule type="cellIs" dxfId="316" priority="280" operator="notEqual">
      <formula>"naam"</formula>
    </cfRule>
  </conditionalFormatting>
  <conditionalFormatting sqref="T4:AI4">
    <cfRule type="cellIs" dxfId="315" priority="279" operator="notEqual">
      <formula>"woonadres"</formula>
    </cfRule>
  </conditionalFormatting>
  <conditionalFormatting sqref="T5:AI5">
    <cfRule type="cellIs" dxfId="314" priority="278" operator="notEqual">
      <formula>"postcode + woonplaats"</formula>
    </cfRule>
  </conditionalFormatting>
  <conditionalFormatting sqref="T6:AC6">
    <cfRule type="cellIs" dxfId="313" priority="277" operator="notEqual">
      <formula>"maak keuze datum levering"</formula>
    </cfRule>
  </conditionalFormatting>
  <conditionalFormatting sqref="T7:AC7">
    <cfRule type="cellIs" dxfId="312" priority="276" operator="notEqual">
      <formula>"maak keuze afhalen of bezorgen"</formula>
    </cfRule>
  </conditionalFormatting>
  <conditionalFormatting sqref="T11:X12">
    <cfRule type="cellIs" dxfId="311" priority="269" operator="notEqual">
      <formula>""</formula>
    </cfRule>
  </conditionalFormatting>
  <conditionalFormatting sqref="T14:AC14">
    <cfRule type="cellIs" dxfId="310" priority="265" operator="equal">
      <formula>"Wilt u een andere tijd? Bel ons dan."</formula>
    </cfRule>
  </conditionalFormatting>
  <conditionalFormatting sqref="AD14:AQ14">
    <cfRule type="cellIs" dxfId="309" priority="264" operator="equal">
      <formula>"Maar wijzigingen kunnen kostenverhogend zijn!"</formula>
    </cfRule>
  </conditionalFormatting>
  <conditionalFormatting sqref="AF7:AQ7">
    <cfRule type="cellIs" dxfId="308" priority="222" operator="equal">
      <formula>"nieuwjaarsborrel"</formula>
    </cfRule>
    <cfRule type="cellIs" dxfId="307" priority="223" operator="equal">
      <formula>"kerstviering"</formula>
    </cfRule>
    <cfRule type="cellIs" dxfId="306" priority="238" operator="equal">
      <formula>"Geen"</formula>
    </cfRule>
    <cfRule type="containsText" dxfId="305" priority="257" operator="containsText" text="geslaagd">
      <formula>NOT(ISERROR(SEARCH("geslaagd",AF7)))</formula>
    </cfRule>
    <cfRule type="containsText" dxfId="304" priority="258" operator="containsText" text="NL elftal wedstrijd">
      <formula>NOT(ISERROR(SEARCH("NL elftal wedstrijd",AF7)))</formula>
    </cfRule>
    <cfRule type="containsText" dxfId="303" priority="259" operator="containsText" text="jubileum">
      <formula>NOT(ISERROR(SEARCH("jubileum",AF7)))</formula>
    </cfRule>
    <cfRule type="containsText" dxfId="302" priority="260" operator="containsText" text="bruiloft">
      <formula>NOT(ISERROR(SEARCH("bruiloft",AF7)))</formula>
    </cfRule>
    <cfRule type="containsText" dxfId="301" priority="261" operator="containsText" text="verjaardag">
      <formula>NOT(ISERROR(SEARCH("verjaardag",AF7)))</formula>
    </cfRule>
    <cfRule type="cellIs" dxfId="300" priority="263" operator="equal">
      <formula>"speciale gelegenheid klik hier ---&gt;"</formula>
    </cfRule>
  </conditionalFormatting>
  <conditionalFormatting sqref="BJ17">
    <cfRule type="containsText" dxfId="299" priority="262" operator="containsText" text="vul km. in">
      <formula>NOT(ISERROR(SEARCH("vul km. in",BJ17)))</formula>
    </cfRule>
  </conditionalFormatting>
  <conditionalFormatting sqref="T17">
    <cfRule type="cellIs" dxfId="298" priority="251" operator="notEqual">
      <formula>""</formula>
    </cfRule>
  </conditionalFormatting>
  <conditionalFormatting sqref="T17:AM17">
    <cfRule type="containsText" dxfId="297" priority="250" operator="containsText" text="MAAK KEUZE Betaalwijze">
      <formula>NOT(ISERROR(SEARCH("MAAK KEUZE Betaalwijze",T17)))</formula>
    </cfRule>
  </conditionalFormatting>
  <conditionalFormatting sqref="T19">
    <cfRule type="cellIs" dxfId="296" priority="249" operator="equal">
      <formula>""</formula>
    </cfRule>
    <cfRule type="cellIs" dxfId="295" priority="254" operator="notEqual">
      <formula>"Adres op factuur"</formula>
    </cfRule>
    <cfRule type="containsText" dxfId="294" priority="256" operator="containsText" text="Adres op factuur">
      <formula>NOT(ISERROR(SEARCH("Adres op factuur",T19)))</formula>
    </cfRule>
  </conditionalFormatting>
  <conditionalFormatting sqref="T20">
    <cfRule type="cellIs" dxfId="293" priority="248" operator="equal">
      <formula>""</formula>
    </cfRule>
    <cfRule type="cellIs" dxfId="292" priority="252" operator="notEqual">
      <formula>"Postcode + Plaats op factuur"</formula>
    </cfRule>
    <cfRule type="containsText" dxfId="291" priority="253" operator="containsText" text="Postcode + plaats op factuur">
      <formula>NOT(ISERROR(SEARCH("Postcode + plaats op factuur",T20)))</formula>
    </cfRule>
  </conditionalFormatting>
  <conditionalFormatting sqref="T21">
    <cfRule type="cellIs" dxfId="290" priority="242" operator="equal">
      <formula>""</formula>
    </cfRule>
    <cfRule type="cellIs" dxfId="289" priority="243" operator="notEqual">
      <formula>"E-mailadres voor indienen factuur"</formula>
    </cfRule>
  </conditionalFormatting>
  <conditionalFormatting sqref="T22">
    <cfRule type="cellIs" dxfId="288" priority="240" operator="equal">
      <formula>""</formula>
    </cfRule>
    <cfRule type="cellIs" dxfId="287" priority="241" operator="notEqual">
      <formula>"BTW nummer"</formula>
    </cfRule>
    <cfRule type="containsText" dxfId="286" priority="255" operator="containsText" text="BTW nummer">
      <formula>NOT(ISERROR(SEARCH("BTW nummer",T22)))</formula>
    </cfRule>
  </conditionalFormatting>
  <conditionalFormatting sqref="T21:AF21">
    <cfRule type="containsText" dxfId="285" priority="239" operator="containsText" text="E-mailadres voor indienen factuur">
      <formula>NOT(ISERROR(SEARCH("E-mailadres voor indienen factuur",T21)))</formula>
    </cfRule>
  </conditionalFormatting>
  <conditionalFormatting sqref="BJ18">
    <cfRule type="containsText" dxfId="284" priority="237" operator="containsText" text="vul km. in">
      <formula>NOT(ISERROR(SEARCH("vul km. in",BJ18)))</formula>
    </cfRule>
  </conditionalFormatting>
  <conditionalFormatting sqref="BJ18">
    <cfRule type="containsText" dxfId="283" priority="236" operator="containsText" text="vul km. in">
      <formula>NOT(ISERROR(SEARCH("vul km. in",BJ18)))</formula>
    </cfRule>
  </conditionalFormatting>
  <conditionalFormatting sqref="BJ18">
    <cfRule type="containsText" dxfId="282" priority="235" operator="containsText" text="vul km. in">
      <formula>NOT(ISERROR(SEARCH("vul km. in",BJ18)))</formula>
    </cfRule>
  </conditionalFormatting>
  <conditionalFormatting sqref="BJ18">
    <cfRule type="containsText" dxfId="281" priority="234" operator="containsText" text="vul km. in">
      <formula>NOT(ISERROR(SEARCH("vul km. in",BJ18)))</formula>
    </cfRule>
  </conditionalFormatting>
  <conditionalFormatting sqref="BJ18">
    <cfRule type="containsText" dxfId="280" priority="231" operator="containsText" text="vul km. in">
      <formula>NOT(ISERROR(SEARCH("vul km. in",BJ18)))</formula>
    </cfRule>
  </conditionalFormatting>
  <conditionalFormatting sqref="BJ18">
    <cfRule type="containsText" dxfId="279" priority="230" operator="containsText" text="vul km. in">
      <formula>NOT(ISERROR(SEARCH("vul km. in",BJ18)))</formula>
    </cfRule>
  </conditionalFormatting>
  <conditionalFormatting sqref="BJ20">
    <cfRule type="containsText" dxfId="278" priority="225" operator="containsText" text="vul km. in">
      <formula>NOT(ISERROR(SEARCH("vul km. in",BJ20)))</formula>
    </cfRule>
  </conditionalFormatting>
  <conditionalFormatting sqref="BJ20">
    <cfRule type="containsText" dxfId="277" priority="224" operator="containsText" text="vul km. in">
      <formula>NOT(ISERROR(SEARCH("vul km. in",BJ20)))</formula>
    </cfRule>
  </conditionalFormatting>
  <conditionalFormatting sqref="AR10:AV10">
    <cfRule type="cellIs" dxfId="276" priority="221" operator="greaterThan">
      <formula>0</formula>
    </cfRule>
  </conditionalFormatting>
  <conditionalFormatting sqref="Y11">
    <cfRule type="cellIs" dxfId="275" priority="220" operator="notEqual">
      <formula>""</formula>
    </cfRule>
  </conditionalFormatting>
  <conditionalFormatting sqref="AE8:AJ8">
    <cfRule type="containsText" dxfId="274" priority="219" operator="containsText" text="Bezorgkosten">
      <formula>NOT(ISERROR(SEARCH("Bezorgkosten",AE8)))</formula>
    </cfRule>
  </conditionalFormatting>
  <conditionalFormatting sqref="T8:AD8">
    <cfRule type="containsText" dxfId="273" priority="218" operator="containsText" text="Vul bezorgadres in">
      <formula>NOT(ISERROR(SEARCH("Vul bezorgadres in",T8)))</formula>
    </cfRule>
  </conditionalFormatting>
  <conditionalFormatting sqref="T9:AD9">
    <cfRule type="cellIs" dxfId="272" priority="217" operator="equal">
      <formula>"Vul plaats bezorgen in"</formula>
    </cfRule>
  </conditionalFormatting>
  <conditionalFormatting sqref="T6:AC6">
    <cfRule type="cellIs" dxfId="271" priority="216" operator="notEqual">
      <formula>"maak keuze datum levering"</formula>
    </cfRule>
  </conditionalFormatting>
  <conditionalFormatting sqref="T7:AC7">
    <cfRule type="cellIs" dxfId="270" priority="215" operator="notEqual">
      <formula>"maak keuze afhalen of bezorgen"</formula>
    </cfRule>
  </conditionalFormatting>
  <conditionalFormatting sqref="T11:X11">
    <cfRule type="cellIs" dxfId="269" priority="214" operator="notEqual">
      <formula>""</formula>
    </cfRule>
  </conditionalFormatting>
  <conditionalFormatting sqref="AF7:AQ7">
    <cfRule type="cellIs" dxfId="268" priority="205" operator="equal">
      <formula>"nieuwjaarsborrel"</formula>
    </cfRule>
    <cfRule type="cellIs" dxfId="267" priority="206" operator="equal">
      <formula>"kerstviering"</formula>
    </cfRule>
    <cfRule type="cellIs" dxfId="266" priority="207" operator="equal">
      <formula>"Geen"</formula>
    </cfRule>
    <cfRule type="containsText" dxfId="265" priority="208" operator="containsText" text="geslaagd">
      <formula>NOT(ISERROR(SEARCH("geslaagd",AF7)))</formula>
    </cfRule>
    <cfRule type="containsText" dxfId="264" priority="209" operator="containsText" text="NL elftal wedstrijd">
      <formula>NOT(ISERROR(SEARCH("NL elftal wedstrijd",AF7)))</formula>
    </cfRule>
    <cfRule type="containsText" dxfId="263" priority="210" operator="containsText" text="jubileum">
      <formula>NOT(ISERROR(SEARCH("jubileum",AF7)))</formula>
    </cfRule>
    <cfRule type="containsText" dxfId="262" priority="211" operator="containsText" text="bruiloft">
      <formula>NOT(ISERROR(SEARCH("bruiloft",AF7)))</formula>
    </cfRule>
    <cfRule type="containsText" dxfId="261" priority="212" operator="containsText" text="verjaardag">
      <formula>NOT(ISERROR(SEARCH("verjaardag",AF7)))</formula>
    </cfRule>
    <cfRule type="cellIs" dxfId="260" priority="213" operator="equal">
      <formula>"speciale gelegenheid klik hier ---&gt;"</formula>
    </cfRule>
  </conditionalFormatting>
  <conditionalFormatting sqref="AU17:AY17">
    <cfRule type="containsText" dxfId="259" priority="204" operator="containsText" text="vul km. in">
      <formula>NOT(ISERROR(SEARCH("vul km. in",AU17)))</formula>
    </cfRule>
  </conditionalFormatting>
  <conditionalFormatting sqref="AR10:AV10">
    <cfRule type="cellIs" dxfId="258" priority="203" operator="greaterThan">
      <formula>0</formula>
    </cfRule>
  </conditionalFormatting>
  <conditionalFormatting sqref="Y11">
    <cfRule type="cellIs" dxfId="257" priority="202" operator="notEqual">
      <formula>""</formula>
    </cfRule>
  </conditionalFormatting>
  <conditionalFormatting sqref="T13:AQ13">
    <cfRule type="containsText" dxfId="256" priority="201" operator="containsText" text="Vanwege organisatorische redenen hebben wij VASTE afhaal- en bezorgtijden.">
      <formula>NOT(ISERROR(SEARCH("Vanwege organisatorische redenen hebben wij VASTE afhaal- en bezorgtijden.",T13)))</formula>
    </cfRule>
  </conditionalFormatting>
  <conditionalFormatting sqref="AE8:AJ8">
    <cfRule type="containsText" dxfId="255" priority="200" operator="containsText" text="Bezorgkosten">
      <formula>NOT(ISERROR(SEARCH("Bezorgkosten",AE8)))</formula>
    </cfRule>
  </conditionalFormatting>
  <conditionalFormatting sqref="T8:AD8">
    <cfRule type="containsText" dxfId="254" priority="199" operator="containsText" text="Vul bezorgadres in">
      <formula>NOT(ISERROR(SEARCH("Vul bezorgadres in",T8)))</formula>
    </cfRule>
  </conditionalFormatting>
  <conditionalFormatting sqref="T16:AD16">
    <cfRule type="cellIs" dxfId="253" priority="198" operator="notEqual">
      <formula>"E-mail"</formula>
    </cfRule>
  </conditionalFormatting>
  <conditionalFormatting sqref="T15:AD15">
    <cfRule type="cellIs" dxfId="252" priority="197" operator="notEqual">
      <formula>"telefoon"</formula>
    </cfRule>
  </conditionalFormatting>
  <conditionalFormatting sqref="T17 Y12:AA12">
    <cfRule type="cellIs" dxfId="251" priority="196" operator="notEqual">
      <formula>""</formula>
    </cfRule>
  </conditionalFormatting>
  <conditionalFormatting sqref="T17:AM17">
    <cfRule type="containsText" dxfId="250" priority="195" operator="containsText" text="MAAK KEUZE Betaalwijze">
      <formula>NOT(ISERROR(SEARCH("MAAK KEUZE Betaalwijze",T17)))</formula>
    </cfRule>
  </conditionalFormatting>
  <conditionalFormatting sqref="T23">
    <cfRule type="cellIs" dxfId="249" priority="192" operator="equal">
      <formula>""</formula>
    </cfRule>
    <cfRule type="cellIs" dxfId="248" priority="193" operator="notEqual">
      <formula>"Kostenplaats op factuur"</formula>
    </cfRule>
    <cfRule type="containsText" dxfId="247" priority="194" operator="containsText" text="kostenplaats op factuur">
      <formula>NOT(ISERROR(SEARCH("kostenplaats op factuur",T23)))</formula>
    </cfRule>
  </conditionalFormatting>
  <conditionalFormatting sqref="T24">
    <cfRule type="cellIs" dxfId="246" priority="189" operator="equal">
      <formula>""</formula>
    </cfRule>
    <cfRule type="cellIs" dxfId="245" priority="190" operator="notEqual">
      <formula>"omschrijving op factuur"</formula>
    </cfRule>
    <cfRule type="containsText" dxfId="244" priority="191" operator="containsText" text="omschrijving op factuur">
      <formula>NOT(ISERROR(SEARCH("omschrijving op factuur",T24)))</formula>
    </cfRule>
  </conditionalFormatting>
  <conditionalFormatting sqref="T18">
    <cfRule type="cellIs" dxfId="243" priority="186" operator="equal">
      <formula>""</formula>
    </cfRule>
    <cfRule type="cellIs" dxfId="242" priority="187" operator="notEqual">
      <formula>"Naam op factuur"</formula>
    </cfRule>
    <cfRule type="containsText" dxfId="241" priority="188" operator="containsText" text="naam op factuur">
      <formula>NOT(ISERROR(SEARCH("naam op factuur",T18)))</formula>
    </cfRule>
  </conditionalFormatting>
  <conditionalFormatting sqref="T9:AD9">
    <cfRule type="cellIs" dxfId="240" priority="185" operator="equal">
      <formula>"Vul plaats bezorgen in"</formula>
    </cfRule>
  </conditionalFormatting>
  <conditionalFormatting sqref="T3:AI3">
    <cfRule type="cellIs" dxfId="239" priority="184" operator="notEqual">
      <formula>"naam"</formula>
    </cfRule>
  </conditionalFormatting>
  <conditionalFormatting sqref="T4:AI4">
    <cfRule type="cellIs" dxfId="238" priority="183" operator="notEqual">
      <formula>"woonadres"</formula>
    </cfRule>
  </conditionalFormatting>
  <conditionalFormatting sqref="T5:AI5">
    <cfRule type="cellIs" dxfId="237" priority="182" operator="notEqual">
      <formula>"postcode + woonplaats"</formula>
    </cfRule>
  </conditionalFormatting>
  <conditionalFormatting sqref="T6:AC6">
    <cfRule type="cellIs" dxfId="236" priority="181" operator="notEqual">
      <formula>"maak keuze datum levering"</formula>
    </cfRule>
  </conditionalFormatting>
  <conditionalFormatting sqref="T7:AC7">
    <cfRule type="cellIs" dxfId="235" priority="180" operator="notEqual">
      <formula>"maak keuze afhalen of bezorgen"</formula>
    </cfRule>
  </conditionalFormatting>
  <conditionalFormatting sqref="T11:X12">
    <cfRule type="cellIs" dxfId="234" priority="179" operator="notEqual">
      <formula>""</formula>
    </cfRule>
  </conditionalFormatting>
  <conditionalFormatting sqref="T14:AC14">
    <cfRule type="cellIs" dxfId="233" priority="178" operator="equal">
      <formula>"Wilt u een andere tijd? Bel ons dan."</formula>
    </cfRule>
  </conditionalFormatting>
  <conditionalFormatting sqref="AD14:AQ14">
    <cfRule type="cellIs" dxfId="232" priority="177" operator="equal">
      <formula>"Maar wijzigingen kunnen kostenverhogend zijn!"</formula>
    </cfRule>
  </conditionalFormatting>
  <conditionalFormatting sqref="AF7:AQ7">
    <cfRule type="cellIs" dxfId="231" priority="168" operator="equal">
      <formula>"nieuwjaarsborrel"</formula>
    </cfRule>
    <cfRule type="cellIs" dxfId="230" priority="169" operator="equal">
      <formula>"kerstviering"</formula>
    </cfRule>
    <cfRule type="cellIs" dxfId="229" priority="170" operator="equal">
      <formula>"Geen"</formula>
    </cfRule>
    <cfRule type="containsText" dxfId="228" priority="171" operator="containsText" text="geslaagd">
      <formula>NOT(ISERROR(SEARCH("geslaagd",AF7)))</formula>
    </cfRule>
    <cfRule type="containsText" dxfId="227" priority="172" operator="containsText" text="NL elftal wedstrijd">
      <formula>NOT(ISERROR(SEARCH("NL elftal wedstrijd",AF7)))</formula>
    </cfRule>
    <cfRule type="containsText" dxfId="226" priority="173" operator="containsText" text="jubileum">
      <formula>NOT(ISERROR(SEARCH("jubileum",AF7)))</formula>
    </cfRule>
    <cfRule type="containsText" dxfId="225" priority="174" operator="containsText" text="bruiloft">
      <formula>NOT(ISERROR(SEARCH("bruiloft",AF7)))</formula>
    </cfRule>
    <cfRule type="containsText" dxfId="224" priority="175" operator="containsText" text="verjaardag">
      <formula>NOT(ISERROR(SEARCH("verjaardag",AF7)))</formula>
    </cfRule>
    <cfRule type="cellIs" dxfId="223" priority="176" operator="equal">
      <formula>"speciale gelegenheid klik hier ---&gt;"</formula>
    </cfRule>
  </conditionalFormatting>
  <conditionalFormatting sqref="T17">
    <cfRule type="cellIs" dxfId="222" priority="167" operator="notEqual">
      <formula>""</formula>
    </cfRule>
  </conditionalFormatting>
  <conditionalFormatting sqref="T17:AM17">
    <cfRule type="containsText" dxfId="221" priority="166" operator="containsText" text="MAAK KEUZE Betaalwijze">
      <formula>NOT(ISERROR(SEARCH("MAAK KEUZE Betaalwijze",T17)))</formula>
    </cfRule>
  </conditionalFormatting>
  <conditionalFormatting sqref="T19">
    <cfRule type="cellIs" dxfId="220" priority="163" operator="equal">
      <formula>""</formula>
    </cfRule>
    <cfRule type="cellIs" dxfId="219" priority="164" operator="notEqual">
      <formula>"Adres op factuur"</formula>
    </cfRule>
    <cfRule type="containsText" dxfId="218" priority="165" operator="containsText" text="Adres op factuur">
      <formula>NOT(ISERROR(SEARCH("Adres op factuur",T19)))</formula>
    </cfRule>
  </conditionalFormatting>
  <conditionalFormatting sqref="T20">
    <cfRule type="cellIs" dxfId="217" priority="160" operator="equal">
      <formula>""</formula>
    </cfRule>
    <cfRule type="cellIs" dxfId="216" priority="161" operator="notEqual">
      <formula>"Postcode + Plaats op factuur"</formula>
    </cfRule>
    <cfRule type="containsText" dxfId="215" priority="162" operator="containsText" text="Postcode + plaats op factuur">
      <formula>NOT(ISERROR(SEARCH("Postcode + plaats op factuur",T20)))</formula>
    </cfRule>
  </conditionalFormatting>
  <conditionalFormatting sqref="T21">
    <cfRule type="cellIs" dxfId="214" priority="158" operator="equal">
      <formula>""</formula>
    </cfRule>
    <cfRule type="cellIs" dxfId="213" priority="159" operator="notEqual">
      <formula>"E-mailadres voor indienen factuur"</formula>
    </cfRule>
  </conditionalFormatting>
  <conditionalFormatting sqref="T22">
    <cfRule type="cellIs" dxfId="212" priority="155" operator="equal">
      <formula>""</formula>
    </cfRule>
    <cfRule type="cellIs" dxfId="211" priority="156" operator="notEqual">
      <formula>"BTW nummer"</formula>
    </cfRule>
    <cfRule type="containsText" dxfId="210" priority="157" operator="containsText" text="BTW nummer">
      <formula>NOT(ISERROR(SEARCH("BTW nummer",T22)))</formula>
    </cfRule>
  </conditionalFormatting>
  <conditionalFormatting sqref="T21:AF21">
    <cfRule type="containsText" dxfId="209" priority="154" operator="containsText" text="E-mailadres voor indienen factuur">
      <formula>NOT(ISERROR(SEARCH("E-mailadres voor indienen factuur",T21)))</formula>
    </cfRule>
  </conditionalFormatting>
  <conditionalFormatting sqref="AR10:AV10">
    <cfRule type="cellIs" dxfId="208" priority="153" operator="greaterThan">
      <formula>0</formula>
    </cfRule>
  </conditionalFormatting>
  <conditionalFormatting sqref="Y11">
    <cfRule type="cellIs" dxfId="207" priority="152" operator="notEqual">
      <formula>""</formula>
    </cfRule>
  </conditionalFormatting>
  <conditionalFormatting sqref="AE8:AJ8">
    <cfRule type="containsText" dxfId="206" priority="151" operator="containsText" text="Bezorgkosten">
      <formula>NOT(ISERROR(SEARCH("Bezorgkosten",AE8)))</formula>
    </cfRule>
  </conditionalFormatting>
  <conditionalFormatting sqref="T8:AD8">
    <cfRule type="containsText" dxfId="205" priority="150" operator="containsText" text="Vul bezorgadres in">
      <formula>NOT(ISERROR(SEARCH("Vul bezorgadres in",T8)))</formula>
    </cfRule>
  </conditionalFormatting>
  <conditionalFormatting sqref="T9:AD9">
    <cfRule type="cellIs" dxfId="204" priority="149" operator="equal">
      <formula>"Vul plaats bezorgen in"</formula>
    </cfRule>
  </conditionalFormatting>
  <conditionalFormatting sqref="T6:AC6">
    <cfRule type="cellIs" dxfId="203" priority="148" operator="notEqual">
      <formula>"maak keuze datum levering"</formula>
    </cfRule>
  </conditionalFormatting>
  <conditionalFormatting sqref="T7:AC7">
    <cfRule type="cellIs" dxfId="202" priority="147" operator="notEqual">
      <formula>"maak keuze afhalen of bezorgen"</formula>
    </cfRule>
  </conditionalFormatting>
  <conditionalFormatting sqref="T11:X11">
    <cfRule type="cellIs" dxfId="201" priority="146" operator="notEqual">
      <formula>""</formula>
    </cfRule>
  </conditionalFormatting>
  <conditionalFormatting sqref="AF7:AQ7">
    <cfRule type="cellIs" dxfId="200" priority="137" operator="equal">
      <formula>"nieuwjaarsborrel"</formula>
    </cfRule>
    <cfRule type="cellIs" dxfId="199" priority="138" operator="equal">
      <formula>"kerstviering"</formula>
    </cfRule>
    <cfRule type="cellIs" dxfId="198" priority="139" operator="equal">
      <formula>"Geen"</formula>
    </cfRule>
    <cfRule type="containsText" dxfId="197" priority="140" operator="containsText" text="geslaagd">
      <formula>NOT(ISERROR(SEARCH("geslaagd",AF7)))</formula>
    </cfRule>
    <cfRule type="containsText" dxfId="196" priority="141" operator="containsText" text="NL elftal wedstrijd">
      <formula>NOT(ISERROR(SEARCH("NL elftal wedstrijd",AF7)))</formula>
    </cfRule>
    <cfRule type="containsText" dxfId="195" priority="142" operator="containsText" text="jubileum">
      <formula>NOT(ISERROR(SEARCH("jubileum",AF7)))</formula>
    </cfRule>
    <cfRule type="containsText" dxfId="194" priority="143" operator="containsText" text="bruiloft">
      <formula>NOT(ISERROR(SEARCH("bruiloft",AF7)))</formula>
    </cfRule>
    <cfRule type="containsText" dxfId="193" priority="144" operator="containsText" text="verjaardag">
      <formula>NOT(ISERROR(SEARCH("verjaardag",AF7)))</formula>
    </cfRule>
    <cfRule type="cellIs" dxfId="192" priority="145" operator="equal">
      <formula>"speciale gelegenheid klik hier ---&gt;"</formula>
    </cfRule>
  </conditionalFormatting>
  <conditionalFormatting sqref="AU17:AY17">
    <cfRule type="containsText" dxfId="191" priority="136" operator="containsText" text="vul km. in">
      <formula>NOT(ISERROR(SEARCH("vul km. in",AU17)))</formula>
    </cfRule>
  </conditionalFormatting>
  <conditionalFormatting sqref="AR10:AV10">
    <cfRule type="cellIs" dxfId="190" priority="135" operator="greaterThan">
      <formula>0</formula>
    </cfRule>
  </conditionalFormatting>
  <conditionalFormatting sqref="Y11">
    <cfRule type="cellIs" dxfId="189" priority="134" operator="notEqual">
      <formula>""</formula>
    </cfRule>
  </conditionalFormatting>
  <conditionalFormatting sqref="T13:AQ13">
    <cfRule type="containsText" dxfId="188" priority="133" operator="containsText" text="Vanwege organisatorische redenen hebben wij VASTE afhaal- en bezorgtijden.">
      <formula>NOT(ISERROR(SEARCH("Vanwege organisatorische redenen hebben wij VASTE afhaal- en bezorgtijden.",T13)))</formula>
    </cfRule>
  </conditionalFormatting>
  <conditionalFormatting sqref="AE8:AJ8">
    <cfRule type="containsText" dxfId="187" priority="132" operator="containsText" text="Bezorgkosten">
      <formula>NOT(ISERROR(SEARCH("Bezorgkosten",AE8)))</formula>
    </cfRule>
  </conditionalFormatting>
  <conditionalFormatting sqref="T8:AD8">
    <cfRule type="containsText" dxfId="186" priority="131" operator="containsText" text="Vul bezorgadres in">
      <formula>NOT(ISERROR(SEARCH("Vul bezorgadres in",T8)))</formula>
    </cfRule>
  </conditionalFormatting>
  <conditionalFormatting sqref="T16:AD16">
    <cfRule type="cellIs" dxfId="185" priority="130" operator="notEqual">
      <formula>"E-mail"</formula>
    </cfRule>
  </conditionalFormatting>
  <conditionalFormatting sqref="T15:AD15">
    <cfRule type="cellIs" dxfId="184" priority="129" operator="notEqual">
      <formula>"telefoon"</formula>
    </cfRule>
  </conditionalFormatting>
  <conditionalFormatting sqref="T17 Y12:AA12">
    <cfRule type="cellIs" dxfId="183" priority="128" operator="notEqual">
      <formula>""</formula>
    </cfRule>
  </conditionalFormatting>
  <conditionalFormatting sqref="T17:AM17">
    <cfRule type="containsText" dxfId="182" priority="127" operator="containsText" text="MAAK KEUZE Betaalwijze">
      <formula>NOT(ISERROR(SEARCH("MAAK KEUZE Betaalwijze",T17)))</formula>
    </cfRule>
  </conditionalFormatting>
  <conditionalFormatting sqref="T23">
    <cfRule type="cellIs" dxfId="181" priority="124" operator="equal">
      <formula>""</formula>
    </cfRule>
    <cfRule type="cellIs" dxfId="180" priority="125" operator="notEqual">
      <formula>"Kostenplaats op factuur"</formula>
    </cfRule>
    <cfRule type="containsText" dxfId="179" priority="126" operator="containsText" text="kostenplaats op factuur">
      <formula>NOT(ISERROR(SEARCH("kostenplaats op factuur",T23)))</formula>
    </cfRule>
  </conditionalFormatting>
  <conditionalFormatting sqref="T24">
    <cfRule type="cellIs" dxfId="178" priority="121" operator="equal">
      <formula>""</formula>
    </cfRule>
    <cfRule type="cellIs" dxfId="177" priority="122" operator="notEqual">
      <formula>"omschrijving op factuur"</formula>
    </cfRule>
    <cfRule type="containsText" dxfId="176" priority="123" operator="containsText" text="omschrijving op factuur">
      <formula>NOT(ISERROR(SEARCH("omschrijving op factuur",T24)))</formula>
    </cfRule>
  </conditionalFormatting>
  <conditionalFormatting sqref="T18">
    <cfRule type="cellIs" dxfId="175" priority="118" operator="equal">
      <formula>""</formula>
    </cfRule>
    <cfRule type="cellIs" dxfId="174" priority="119" operator="notEqual">
      <formula>"Naam op factuur"</formula>
    </cfRule>
    <cfRule type="containsText" dxfId="173" priority="120" operator="containsText" text="naam op factuur">
      <formula>NOT(ISERROR(SEARCH("naam op factuur",T18)))</formula>
    </cfRule>
  </conditionalFormatting>
  <conditionalFormatting sqref="T9:AD9">
    <cfRule type="cellIs" dxfId="172" priority="117" operator="equal">
      <formula>"Vul plaats bezorgen in"</formula>
    </cfRule>
  </conditionalFormatting>
  <conditionalFormatting sqref="T3:AI3">
    <cfRule type="cellIs" dxfId="171" priority="116" operator="notEqual">
      <formula>"naam"</formula>
    </cfRule>
  </conditionalFormatting>
  <conditionalFormatting sqref="T4:AI4">
    <cfRule type="cellIs" dxfId="170" priority="115" operator="notEqual">
      <formula>"woonadres"</formula>
    </cfRule>
  </conditionalFormatting>
  <conditionalFormatting sqref="T5:AI5">
    <cfRule type="cellIs" dxfId="169" priority="114" operator="notEqual">
      <formula>"postcode + woonplaats"</formula>
    </cfRule>
  </conditionalFormatting>
  <conditionalFormatting sqref="T6:AC6">
    <cfRule type="cellIs" dxfId="168" priority="113" operator="notEqual">
      <formula>"maak keuze datum levering"</formula>
    </cfRule>
  </conditionalFormatting>
  <conditionalFormatting sqref="T7:AC7">
    <cfRule type="cellIs" dxfId="167" priority="112" operator="notEqual">
      <formula>"maak keuze afhalen of bezorgen"</formula>
    </cfRule>
  </conditionalFormatting>
  <conditionalFormatting sqref="T11:X12">
    <cfRule type="cellIs" dxfId="166" priority="111" operator="notEqual">
      <formula>""</formula>
    </cfRule>
  </conditionalFormatting>
  <conditionalFormatting sqref="T14:AC14">
    <cfRule type="cellIs" dxfId="165" priority="110" operator="equal">
      <formula>"Wilt u een andere tijd? Bel ons dan."</formula>
    </cfRule>
  </conditionalFormatting>
  <conditionalFormatting sqref="AD14:AQ14">
    <cfRule type="cellIs" dxfId="164" priority="109" operator="equal">
      <formula>"Maar wijzigingen kunnen kostenverhogend zijn!"</formula>
    </cfRule>
  </conditionalFormatting>
  <conditionalFormatting sqref="AF7:AQ7">
    <cfRule type="cellIs" dxfId="163" priority="100" operator="equal">
      <formula>"nieuwjaarsborrel"</formula>
    </cfRule>
    <cfRule type="cellIs" dxfId="162" priority="101" operator="equal">
      <formula>"kerstviering"</formula>
    </cfRule>
    <cfRule type="cellIs" dxfId="161" priority="102" operator="equal">
      <formula>"Geen"</formula>
    </cfRule>
    <cfRule type="containsText" dxfId="160" priority="103" operator="containsText" text="geslaagd">
      <formula>NOT(ISERROR(SEARCH("geslaagd",AF7)))</formula>
    </cfRule>
    <cfRule type="containsText" dxfId="159" priority="104" operator="containsText" text="NL elftal wedstrijd">
      <formula>NOT(ISERROR(SEARCH("NL elftal wedstrijd",AF7)))</formula>
    </cfRule>
    <cfRule type="containsText" dxfId="158" priority="105" operator="containsText" text="jubileum">
      <formula>NOT(ISERROR(SEARCH("jubileum",AF7)))</formula>
    </cfRule>
    <cfRule type="containsText" dxfId="157" priority="106" operator="containsText" text="bruiloft">
      <formula>NOT(ISERROR(SEARCH("bruiloft",AF7)))</formula>
    </cfRule>
    <cfRule type="containsText" dxfId="156" priority="107" operator="containsText" text="verjaardag">
      <formula>NOT(ISERROR(SEARCH("verjaardag",AF7)))</formula>
    </cfRule>
    <cfRule type="cellIs" dxfId="155" priority="108" operator="equal">
      <formula>"speciale gelegenheid klik hier ---&gt;"</formula>
    </cfRule>
  </conditionalFormatting>
  <conditionalFormatting sqref="T17">
    <cfRule type="cellIs" dxfId="154" priority="99" operator="notEqual">
      <formula>""</formula>
    </cfRule>
  </conditionalFormatting>
  <conditionalFormatting sqref="T17:AM17">
    <cfRule type="containsText" dxfId="153" priority="98" operator="containsText" text="MAAK KEUZE Betaalwijze">
      <formula>NOT(ISERROR(SEARCH("MAAK KEUZE Betaalwijze",T17)))</formula>
    </cfRule>
  </conditionalFormatting>
  <conditionalFormatting sqref="T19">
    <cfRule type="cellIs" dxfId="152" priority="95" operator="equal">
      <formula>""</formula>
    </cfRule>
    <cfRule type="cellIs" dxfId="151" priority="96" operator="notEqual">
      <formula>"Adres op factuur"</formula>
    </cfRule>
    <cfRule type="containsText" dxfId="150" priority="97" operator="containsText" text="Adres op factuur">
      <formula>NOT(ISERROR(SEARCH("Adres op factuur",T19)))</formula>
    </cfRule>
  </conditionalFormatting>
  <conditionalFormatting sqref="T20">
    <cfRule type="cellIs" dxfId="149" priority="92" operator="equal">
      <formula>""</formula>
    </cfRule>
    <cfRule type="cellIs" dxfId="148" priority="93" operator="notEqual">
      <formula>"Postcode + Plaats op factuur"</formula>
    </cfRule>
    <cfRule type="containsText" dxfId="147" priority="94" operator="containsText" text="Postcode + plaats op factuur">
      <formula>NOT(ISERROR(SEARCH("Postcode + plaats op factuur",T20)))</formula>
    </cfRule>
  </conditionalFormatting>
  <conditionalFormatting sqref="T21">
    <cfRule type="cellIs" dxfId="146" priority="90" operator="equal">
      <formula>""</formula>
    </cfRule>
    <cfRule type="cellIs" dxfId="145" priority="91" operator="notEqual">
      <formula>"E-mailadres voor indienen factuur"</formula>
    </cfRule>
  </conditionalFormatting>
  <conditionalFormatting sqref="T22">
    <cfRule type="cellIs" dxfId="144" priority="87" operator="equal">
      <formula>""</formula>
    </cfRule>
    <cfRule type="cellIs" dxfId="143" priority="88" operator="notEqual">
      <formula>"BTW nummer"</formula>
    </cfRule>
    <cfRule type="containsText" dxfId="142" priority="89" operator="containsText" text="BTW nummer">
      <formula>NOT(ISERROR(SEARCH("BTW nummer",T22)))</formula>
    </cfRule>
  </conditionalFormatting>
  <conditionalFormatting sqref="T21:AF21">
    <cfRule type="containsText" dxfId="141" priority="86" operator="containsText" text="E-mailadres voor indienen factuur">
      <formula>NOT(ISERROR(SEARCH("E-mailadres voor indienen factuur",T21)))</formula>
    </cfRule>
  </conditionalFormatting>
  <conditionalFormatting sqref="AR10:AV10">
    <cfRule type="cellIs" dxfId="140" priority="85" operator="greaterThan">
      <formula>0</formula>
    </cfRule>
  </conditionalFormatting>
  <conditionalFormatting sqref="Y11">
    <cfRule type="cellIs" dxfId="139" priority="84" operator="notEqual">
      <formula>""</formula>
    </cfRule>
  </conditionalFormatting>
  <conditionalFormatting sqref="AE8:AJ8">
    <cfRule type="containsText" dxfId="138" priority="83" operator="containsText" text="Bezorgkosten">
      <formula>NOT(ISERROR(SEARCH("Bezorgkosten",AE8)))</formula>
    </cfRule>
  </conditionalFormatting>
  <conditionalFormatting sqref="T8:AD8">
    <cfRule type="containsText" dxfId="137" priority="82" operator="containsText" text="Vul bezorgadres in">
      <formula>NOT(ISERROR(SEARCH("Vul bezorgadres in",T8)))</formula>
    </cfRule>
  </conditionalFormatting>
  <conditionalFormatting sqref="T9:AD9">
    <cfRule type="cellIs" dxfId="136" priority="81" operator="equal">
      <formula>"Vul plaats bezorgen in"</formula>
    </cfRule>
  </conditionalFormatting>
  <conditionalFormatting sqref="T6:AC6">
    <cfRule type="cellIs" dxfId="135" priority="80" operator="notEqual">
      <formula>"maak keuze datum levering"</formula>
    </cfRule>
  </conditionalFormatting>
  <conditionalFormatting sqref="T7:AC7">
    <cfRule type="cellIs" dxfId="134" priority="79" operator="notEqual">
      <formula>"maak keuze afhalen of bezorgen"</formula>
    </cfRule>
  </conditionalFormatting>
  <conditionalFormatting sqref="T11:X11">
    <cfRule type="cellIs" dxfId="133" priority="78" operator="notEqual">
      <formula>""</formula>
    </cfRule>
  </conditionalFormatting>
  <conditionalFormatting sqref="AF7:AQ7">
    <cfRule type="cellIs" dxfId="132" priority="69" operator="equal">
      <formula>"nieuwjaarsborrel"</formula>
    </cfRule>
    <cfRule type="cellIs" dxfId="131" priority="70" operator="equal">
      <formula>"kerstviering"</formula>
    </cfRule>
    <cfRule type="cellIs" dxfId="130" priority="71" operator="equal">
      <formula>"Geen"</formula>
    </cfRule>
    <cfRule type="containsText" dxfId="129" priority="72" operator="containsText" text="geslaagd">
      <formula>NOT(ISERROR(SEARCH("geslaagd",AF7)))</formula>
    </cfRule>
    <cfRule type="containsText" dxfId="128" priority="73" operator="containsText" text="NL elftal wedstrijd">
      <formula>NOT(ISERROR(SEARCH("NL elftal wedstrijd",AF7)))</formula>
    </cfRule>
    <cfRule type="containsText" dxfId="127" priority="74" operator="containsText" text="jubileum">
      <formula>NOT(ISERROR(SEARCH("jubileum",AF7)))</formula>
    </cfRule>
    <cfRule type="containsText" dxfId="126" priority="75" operator="containsText" text="bruiloft">
      <formula>NOT(ISERROR(SEARCH("bruiloft",AF7)))</formula>
    </cfRule>
    <cfRule type="containsText" dxfId="125" priority="76" operator="containsText" text="verjaardag">
      <formula>NOT(ISERROR(SEARCH("verjaardag",AF7)))</formula>
    </cfRule>
    <cfRule type="cellIs" dxfId="124" priority="77" operator="equal">
      <formula>"speciale gelegenheid klik hier ---&gt;"</formula>
    </cfRule>
  </conditionalFormatting>
  <conditionalFormatting sqref="AU17:AY17">
    <cfRule type="containsText" dxfId="123" priority="68" operator="containsText" text="vul km. in">
      <formula>NOT(ISERROR(SEARCH("vul km. in",AU17)))</formula>
    </cfRule>
  </conditionalFormatting>
  <conditionalFormatting sqref="AR10:AV10">
    <cfRule type="cellIs" dxfId="122" priority="67" operator="greaterThan">
      <formula>0</formula>
    </cfRule>
  </conditionalFormatting>
  <conditionalFormatting sqref="Y11">
    <cfRule type="cellIs" dxfId="121" priority="66" operator="notEqual">
      <formula>""</formula>
    </cfRule>
  </conditionalFormatting>
  <conditionalFormatting sqref="T13:AQ13">
    <cfRule type="containsText" dxfId="120" priority="65" operator="containsText" text="Vanwege organisatorische redenen hebben wij VASTE afhaal- en bezorgtijden.">
      <formula>NOT(ISERROR(SEARCH("Vanwege organisatorische redenen hebben wij VASTE afhaal- en bezorgtijden.",T13)))</formula>
    </cfRule>
  </conditionalFormatting>
  <conditionalFormatting sqref="AE8:AJ8">
    <cfRule type="containsText" dxfId="119" priority="64" operator="containsText" text="Bezorgkosten">
      <formula>NOT(ISERROR(SEARCH("Bezorgkosten",AE8)))</formula>
    </cfRule>
  </conditionalFormatting>
  <conditionalFormatting sqref="T8:AD8">
    <cfRule type="containsText" dxfId="118" priority="63" operator="containsText" text="Vul bezorgadres in">
      <formula>NOT(ISERROR(SEARCH("Vul bezorgadres in",T8)))</formula>
    </cfRule>
  </conditionalFormatting>
  <conditionalFormatting sqref="T16:AD16">
    <cfRule type="cellIs" dxfId="117" priority="62" operator="notEqual">
      <formula>"E-mail"</formula>
    </cfRule>
  </conditionalFormatting>
  <conditionalFormatting sqref="T15:AD15">
    <cfRule type="cellIs" dxfId="116" priority="61" operator="notEqual">
      <formula>"telefoon"</formula>
    </cfRule>
  </conditionalFormatting>
  <conditionalFormatting sqref="T17 Y12:AA12">
    <cfRule type="cellIs" dxfId="115" priority="60" operator="notEqual">
      <formula>""</formula>
    </cfRule>
  </conditionalFormatting>
  <conditionalFormatting sqref="T17:AM17">
    <cfRule type="containsText" dxfId="114" priority="59" operator="containsText" text="MAAK KEUZE Betaalwijze">
      <formula>NOT(ISERROR(SEARCH("MAAK KEUZE Betaalwijze",T17)))</formula>
    </cfRule>
  </conditionalFormatting>
  <conditionalFormatting sqref="T23">
    <cfRule type="cellIs" dxfId="113" priority="56" operator="equal">
      <formula>""</formula>
    </cfRule>
    <cfRule type="cellIs" dxfId="112" priority="57" operator="notEqual">
      <formula>"Kostenplaats op factuur"</formula>
    </cfRule>
    <cfRule type="containsText" dxfId="111" priority="58" operator="containsText" text="kostenplaats op factuur">
      <formula>NOT(ISERROR(SEARCH("kostenplaats op factuur",T23)))</formula>
    </cfRule>
  </conditionalFormatting>
  <conditionalFormatting sqref="T24">
    <cfRule type="cellIs" dxfId="110" priority="53" operator="equal">
      <formula>""</formula>
    </cfRule>
    <cfRule type="cellIs" dxfId="109" priority="54" operator="notEqual">
      <formula>"omschrijving op factuur"</formula>
    </cfRule>
    <cfRule type="containsText" dxfId="108" priority="55" operator="containsText" text="omschrijving op factuur">
      <formula>NOT(ISERROR(SEARCH("omschrijving op factuur",T24)))</formula>
    </cfRule>
  </conditionalFormatting>
  <conditionalFormatting sqref="T18">
    <cfRule type="cellIs" dxfId="107" priority="50" operator="equal">
      <formula>""</formula>
    </cfRule>
    <cfRule type="cellIs" dxfId="106" priority="51" operator="notEqual">
      <formula>"Naam op factuur"</formula>
    </cfRule>
    <cfRule type="containsText" dxfId="105" priority="52" operator="containsText" text="naam op factuur">
      <formula>NOT(ISERROR(SEARCH("naam op factuur",T18)))</formula>
    </cfRule>
  </conditionalFormatting>
  <conditionalFormatting sqref="T9:AD9">
    <cfRule type="cellIs" dxfId="104" priority="49" operator="equal">
      <formula>"Vul plaats bezorgen in"</formula>
    </cfRule>
  </conditionalFormatting>
  <conditionalFormatting sqref="T3:AI3">
    <cfRule type="cellIs" dxfId="103" priority="48" operator="notEqual">
      <formula>"naam"</formula>
    </cfRule>
  </conditionalFormatting>
  <conditionalFormatting sqref="T4:AI4">
    <cfRule type="cellIs" dxfId="102" priority="47" operator="notEqual">
      <formula>"woonadres"</formula>
    </cfRule>
  </conditionalFormatting>
  <conditionalFormatting sqref="T5:AI5">
    <cfRule type="cellIs" dxfId="101" priority="46" operator="notEqual">
      <formula>"postcode + woonplaats"</formula>
    </cfRule>
  </conditionalFormatting>
  <conditionalFormatting sqref="T6:AC6">
    <cfRule type="cellIs" dxfId="100" priority="45" operator="notEqual">
      <formula>"maak keuze datum levering"</formula>
    </cfRule>
  </conditionalFormatting>
  <conditionalFormatting sqref="T7:AC7">
    <cfRule type="cellIs" dxfId="99" priority="44" operator="notEqual">
      <formula>"maak keuze afhalen of bezorgen"</formula>
    </cfRule>
  </conditionalFormatting>
  <conditionalFormatting sqref="T11:X12">
    <cfRule type="cellIs" dxfId="98" priority="43" operator="notEqual">
      <formula>""</formula>
    </cfRule>
  </conditionalFormatting>
  <conditionalFormatting sqref="T14:AC14">
    <cfRule type="cellIs" dxfId="97" priority="42" operator="equal">
      <formula>"Wilt u een andere tijd? Bel ons dan."</formula>
    </cfRule>
  </conditionalFormatting>
  <conditionalFormatting sqref="AD14:AQ14">
    <cfRule type="cellIs" dxfId="96" priority="41" operator="equal">
      <formula>"Maar wijzigingen kunnen kostenverhogend zijn!"</formula>
    </cfRule>
  </conditionalFormatting>
  <conditionalFormatting sqref="AF7:AQ7">
    <cfRule type="cellIs" dxfId="95" priority="32" operator="equal">
      <formula>"nieuwjaarsborrel"</formula>
    </cfRule>
    <cfRule type="cellIs" dxfId="94" priority="33" operator="equal">
      <formula>"kerstviering"</formula>
    </cfRule>
    <cfRule type="cellIs" dxfId="93" priority="34" operator="equal">
      <formula>"Geen"</formula>
    </cfRule>
    <cfRule type="containsText" dxfId="92" priority="35" operator="containsText" text="geslaagd">
      <formula>NOT(ISERROR(SEARCH("geslaagd",AF7)))</formula>
    </cfRule>
    <cfRule type="containsText" dxfId="91" priority="36" operator="containsText" text="NL elftal wedstrijd">
      <formula>NOT(ISERROR(SEARCH("NL elftal wedstrijd",AF7)))</formula>
    </cfRule>
    <cfRule type="containsText" dxfId="90" priority="37" operator="containsText" text="jubileum">
      <formula>NOT(ISERROR(SEARCH("jubileum",AF7)))</formula>
    </cfRule>
    <cfRule type="containsText" dxfId="89" priority="38" operator="containsText" text="bruiloft">
      <formula>NOT(ISERROR(SEARCH("bruiloft",AF7)))</formula>
    </cfRule>
    <cfRule type="containsText" dxfId="88" priority="39" operator="containsText" text="verjaardag">
      <formula>NOT(ISERROR(SEARCH("verjaardag",AF7)))</formula>
    </cfRule>
    <cfRule type="cellIs" dxfId="87" priority="40" operator="equal">
      <formula>"speciale gelegenheid klik hier ---&gt;"</formula>
    </cfRule>
  </conditionalFormatting>
  <conditionalFormatting sqref="T17">
    <cfRule type="cellIs" dxfId="86" priority="31" operator="notEqual">
      <formula>""</formula>
    </cfRule>
  </conditionalFormatting>
  <conditionalFormatting sqref="T17:AM17">
    <cfRule type="containsText" dxfId="85" priority="30" operator="containsText" text="MAAK KEUZE Betaalwijze">
      <formula>NOT(ISERROR(SEARCH("MAAK KEUZE Betaalwijze",T17)))</formula>
    </cfRule>
  </conditionalFormatting>
  <conditionalFormatting sqref="T19">
    <cfRule type="cellIs" dxfId="84" priority="27" operator="equal">
      <formula>""</formula>
    </cfRule>
    <cfRule type="cellIs" dxfId="83" priority="28" operator="notEqual">
      <formula>"Adres op factuur"</formula>
    </cfRule>
    <cfRule type="containsText" dxfId="82" priority="29" operator="containsText" text="Adres op factuur">
      <formula>NOT(ISERROR(SEARCH("Adres op factuur",T19)))</formula>
    </cfRule>
  </conditionalFormatting>
  <conditionalFormatting sqref="T20">
    <cfRule type="cellIs" dxfId="81" priority="24" operator="equal">
      <formula>""</formula>
    </cfRule>
    <cfRule type="cellIs" dxfId="80" priority="25" operator="notEqual">
      <formula>"Postcode + Plaats op factuur"</formula>
    </cfRule>
    <cfRule type="containsText" dxfId="79" priority="26" operator="containsText" text="Postcode + plaats op factuur">
      <formula>NOT(ISERROR(SEARCH("Postcode + plaats op factuur",T20)))</formula>
    </cfRule>
  </conditionalFormatting>
  <conditionalFormatting sqref="T21">
    <cfRule type="cellIs" dxfId="78" priority="22" operator="equal">
      <formula>""</formula>
    </cfRule>
    <cfRule type="cellIs" dxfId="77" priority="23" operator="notEqual">
      <formula>"E-mailadres voor indienen factuur"</formula>
    </cfRule>
  </conditionalFormatting>
  <conditionalFormatting sqref="T22">
    <cfRule type="cellIs" dxfId="76" priority="19" operator="equal">
      <formula>""</formula>
    </cfRule>
    <cfRule type="cellIs" dxfId="75" priority="20" operator="notEqual">
      <formula>"BTW nummer"</formula>
    </cfRule>
    <cfRule type="containsText" dxfId="74" priority="21" operator="containsText" text="BTW nummer">
      <formula>NOT(ISERROR(SEARCH("BTW nummer",T22)))</formula>
    </cfRule>
  </conditionalFormatting>
  <conditionalFormatting sqref="T21:AF21">
    <cfRule type="containsText" dxfId="73" priority="18" operator="containsText" text="E-mailadres voor indienen factuur">
      <formula>NOT(ISERROR(SEARCH("E-mailadres voor indienen factuur",T21)))</formula>
    </cfRule>
  </conditionalFormatting>
  <conditionalFormatting sqref="AR10:AV10">
    <cfRule type="cellIs" dxfId="72" priority="17" operator="greaterThan">
      <formula>0</formula>
    </cfRule>
  </conditionalFormatting>
  <conditionalFormatting sqref="Y11">
    <cfRule type="cellIs" dxfId="71" priority="16" operator="notEqual">
      <formula>""</formula>
    </cfRule>
  </conditionalFormatting>
  <conditionalFormatting sqref="AE8:AJ8">
    <cfRule type="containsText" dxfId="70" priority="15" operator="containsText" text="Bezorgkosten">
      <formula>NOT(ISERROR(SEARCH("Bezorgkosten",AE8)))</formula>
    </cfRule>
  </conditionalFormatting>
  <conditionalFormatting sqref="T8:AD8">
    <cfRule type="containsText" dxfId="69" priority="14" operator="containsText" text="Vul bezorgadres in">
      <formula>NOT(ISERROR(SEARCH("Vul bezorgadres in",T8)))</formula>
    </cfRule>
  </conditionalFormatting>
  <conditionalFormatting sqref="T9:AD9">
    <cfRule type="cellIs" dxfId="68" priority="13" operator="equal">
      <formula>"Vul plaats bezorgen in"</formula>
    </cfRule>
  </conditionalFormatting>
  <conditionalFormatting sqref="T6:AC6">
    <cfRule type="cellIs" dxfId="67" priority="12" operator="notEqual">
      <formula>"maak keuze datum levering"</formula>
    </cfRule>
  </conditionalFormatting>
  <conditionalFormatting sqref="T7:AC7">
    <cfRule type="cellIs" dxfId="66" priority="11" operator="notEqual">
      <formula>"maak keuze afhalen of bezorgen"</formula>
    </cfRule>
  </conditionalFormatting>
  <conditionalFormatting sqref="T11:X11">
    <cfRule type="cellIs" dxfId="65" priority="10" operator="notEqual">
      <formula>""</formula>
    </cfRule>
  </conditionalFormatting>
  <conditionalFormatting sqref="AF7:AQ7">
    <cfRule type="cellIs" dxfId="64" priority="1" operator="equal">
      <formula>"nieuwjaarsborrel"</formula>
    </cfRule>
    <cfRule type="cellIs" dxfId="63" priority="2" operator="equal">
      <formula>"kerstviering"</formula>
    </cfRule>
    <cfRule type="cellIs" dxfId="62" priority="3" operator="equal">
      <formula>"Geen"</formula>
    </cfRule>
    <cfRule type="containsText" dxfId="61" priority="4" operator="containsText" text="geslaagd">
      <formula>NOT(ISERROR(SEARCH("geslaagd",AF7)))</formula>
    </cfRule>
    <cfRule type="containsText" dxfId="60" priority="5" operator="containsText" text="NL elftal wedstrijd">
      <formula>NOT(ISERROR(SEARCH("NL elftal wedstrijd",AF7)))</formula>
    </cfRule>
    <cfRule type="containsText" dxfId="59" priority="6" operator="containsText" text="jubileum">
      <formula>NOT(ISERROR(SEARCH("jubileum",AF7)))</formula>
    </cfRule>
    <cfRule type="containsText" dxfId="58" priority="7" operator="containsText" text="bruiloft">
      <formula>NOT(ISERROR(SEARCH("bruiloft",AF7)))</formula>
    </cfRule>
    <cfRule type="containsText" dxfId="57" priority="8" operator="containsText" text="verjaardag">
      <formula>NOT(ISERROR(SEARCH("verjaardag",AF7)))</formula>
    </cfRule>
    <cfRule type="cellIs" dxfId="56" priority="9" operator="equal">
      <formula>"speciale gelegenheid klik hier ---&gt;"</formula>
    </cfRule>
  </conditionalFormatting>
  <dataValidations count="7">
    <dataValidation type="list" allowBlank="1" showInputMessage="1" showErrorMessage="1" sqref="T11:X11" xr:uid="{00000000-0002-0000-0100-000000000000}">
      <formula1>$F$38:$F$41</formula1>
    </dataValidation>
    <dataValidation type="list" allowBlank="1" showInputMessage="1" showErrorMessage="1" sqref="T7:AC7" xr:uid="{00000000-0002-0000-0100-000001000000}">
      <formula1>$F$96:$F$98</formula1>
    </dataValidation>
    <dataValidation type="list" allowBlank="1" showInputMessage="1" showErrorMessage="1" sqref="T10:AA10" xr:uid="{00000000-0002-0000-0100-000003000000}">
      <formula1>$BR$39:$BR$89</formula1>
    </dataValidation>
    <dataValidation type="list" allowBlank="1" showInputMessage="1" showErrorMessage="1" sqref="T12:X12" xr:uid="{00000000-0002-0000-0100-000004000000}">
      <formula1>$N$38:$N$41</formula1>
    </dataValidation>
    <dataValidation type="list" allowBlank="1" showInputMessage="1" showErrorMessage="1" sqref="AF7:AQ7" xr:uid="{00000000-0002-0000-0100-000005000000}">
      <formula1>$BJ$2:$BJ$23</formula1>
    </dataValidation>
    <dataValidation type="list" allowBlank="1" showInputMessage="1" showErrorMessage="1" sqref="T17:AM17" xr:uid="{00000000-0002-0000-0100-000006000000}">
      <formula1>$BK$41:$BK$45</formula1>
    </dataValidation>
    <dataValidation type="list" showInputMessage="1" showErrorMessage="1" sqref="T6:AC6" xr:uid="{00000000-0002-0000-0100-000002000000}">
      <formula1>$BJ$40:$BJ$408</formula1>
    </dataValidation>
  </dataValidations>
  <hyperlinks>
    <hyperlink ref="T25:AO26" location="'STAP 2 - BESTELKEUZE'!A1" display="'STAP 2 - BESTELKEUZE'!A1" xr:uid="{00000000-0004-0000-0100-000000000000}"/>
    <hyperlink ref="T2:AQ2" location="'STAP 2 - BESTELKEUZE'!A1" display="'STAP 2 - BESTELKEUZE'!A1" xr:uid="{00000000-0004-0000-0100-000001000000}"/>
  </hyperlinks>
  <pageMargins left="0.11811023622047245" right="0.15748031496062992" top="0.11811023622047245" bottom="0.19685039370078741" header="0.11811023622047245" footer="0.19685039370078741"/>
  <pageSetup paperSize="9" scale="66" orientation="landscape" r:id="rId1"/>
  <ignoredErrors>
    <ignoredError sqref="BI11" evalError="1"/>
    <ignoredError sqref="BJ42:BJ125 BJ126:BJ409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0"/>
    <pageSetUpPr fitToPage="1"/>
  </sheetPr>
  <dimension ref="A1:CV203"/>
  <sheetViews>
    <sheetView showGridLines="0" showRowColHeaders="0" zoomScaleNormal="100" workbookViewId="0"/>
  </sheetViews>
  <sheetFormatPr defaultColWidth="9" defaultRowHeight="14.85"/>
  <cols>
    <col min="1" max="1" width="14.7109375" customWidth="1"/>
    <col min="3" max="3" width="3.140625" customWidth="1"/>
    <col min="4" max="4" width="1.140625" customWidth="1"/>
    <col min="5" max="5" width="7.85546875" customWidth="1"/>
    <col min="6" max="6" width="4.42578125" customWidth="1"/>
    <col min="7" max="7" width="4" customWidth="1"/>
    <col min="8" max="36" width="3.7109375" customWidth="1"/>
    <col min="37" max="37" width="4.85546875" customWidth="1"/>
    <col min="38" max="52" width="3.7109375" customWidth="1"/>
    <col min="53" max="53" width="4" customWidth="1"/>
    <col min="54" max="54" width="8.42578125" customWidth="1"/>
  </cols>
  <sheetData>
    <row r="1" spans="1:100" ht="15.0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100" ht="15.05" customHeight="1">
      <c r="A2" s="1"/>
      <c r="B2" s="1"/>
      <c r="C2" s="1"/>
      <c r="D2" s="1"/>
      <c r="E2" s="1"/>
      <c r="F2" s="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6"/>
      <c r="U2" s="8"/>
      <c r="V2" s="3"/>
      <c r="W2" s="3"/>
      <c r="X2" s="3"/>
      <c r="Y2" s="3"/>
      <c r="Z2" s="3"/>
      <c r="AA2" s="3"/>
      <c r="AB2" s="3"/>
      <c r="AC2" s="3"/>
      <c r="AD2" s="3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</row>
    <row r="3" spans="1:100" ht="32.299999999999997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295"/>
      <c r="V3" s="295"/>
      <c r="W3" s="295"/>
      <c r="X3" s="295"/>
      <c r="Y3" s="295"/>
      <c r="Z3" s="295"/>
      <c r="AA3" s="295"/>
      <c r="AB3" s="929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929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</row>
    <row r="4" spans="1:100" ht="31.55" customHeight="1">
      <c r="A4" s="1"/>
      <c r="B4" s="1"/>
      <c r="C4" s="308"/>
      <c r="D4" s="308"/>
      <c r="E4" s="308"/>
      <c r="F4" s="308"/>
      <c r="G4" s="939" t="s">
        <v>458</v>
      </c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308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</row>
    <row r="5" spans="1:100" ht="8.1999999999999993" customHeight="1" thickBot="1">
      <c r="A5" s="1"/>
      <c r="B5" s="1"/>
      <c r="C5" s="1"/>
      <c r="D5" s="1"/>
      <c r="E5" s="1"/>
      <c r="F5" s="1"/>
      <c r="G5" s="646"/>
      <c r="H5" s="646"/>
      <c r="I5" s="646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930"/>
      <c r="AX5" s="930"/>
      <c r="AY5" s="930"/>
      <c r="AZ5" s="930"/>
      <c r="BA5" s="930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</row>
    <row r="6" spans="1:100" ht="16" customHeight="1">
      <c r="A6" s="1"/>
      <c r="B6" s="1"/>
      <c r="C6" s="1"/>
      <c r="D6" s="1"/>
      <c r="E6" s="1"/>
      <c r="F6" s="645"/>
      <c r="G6" s="643"/>
      <c r="H6" s="643"/>
      <c r="I6" s="934" t="s">
        <v>710</v>
      </c>
      <c r="J6" s="935"/>
      <c r="K6" s="935"/>
      <c r="L6" s="935"/>
      <c r="M6" s="935"/>
      <c r="N6" s="935"/>
      <c r="O6" s="935"/>
      <c r="P6" s="935"/>
      <c r="Q6" s="935"/>
      <c r="R6" s="935"/>
      <c r="S6" s="935"/>
      <c r="T6" s="935"/>
      <c r="U6" s="935"/>
      <c r="V6" s="935"/>
      <c r="W6" s="935"/>
      <c r="X6" s="935"/>
      <c r="Y6" s="935"/>
      <c r="Z6" s="935"/>
      <c r="AA6" s="935"/>
      <c r="AB6" s="935"/>
      <c r="AC6" s="935"/>
      <c r="AD6" s="935"/>
      <c r="AE6" s="935"/>
      <c r="AF6" s="935"/>
      <c r="AG6" s="935"/>
      <c r="AH6" s="935"/>
      <c r="AI6" s="935"/>
      <c r="AJ6" s="935"/>
      <c r="AK6" s="935"/>
      <c r="AL6" s="935"/>
      <c r="AM6" s="935"/>
      <c r="AN6" s="935"/>
      <c r="AO6" s="935"/>
      <c r="AP6" s="935"/>
      <c r="AQ6" s="935"/>
      <c r="AR6" s="935"/>
      <c r="AS6" s="935"/>
      <c r="AT6" s="935"/>
      <c r="AU6" s="935"/>
      <c r="AV6" s="935"/>
      <c r="AW6" s="935"/>
      <c r="AX6" s="935"/>
      <c r="AY6" s="935"/>
      <c r="AZ6" s="935"/>
      <c r="BA6" s="935"/>
      <c r="BB6" s="936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</row>
    <row r="7" spans="1:100" ht="16" customHeight="1" thickBot="1">
      <c r="A7" s="1"/>
      <c r="B7" s="1"/>
      <c r="C7" s="1"/>
      <c r="D7" s="1"/>
      <c r="E7" s="1"/>
      <c r="F7" s="645"/>
      <c r="G7" s="644"/>
      <c r="H7" s="644"/>
      <c r="I7" s="937" t="s">
        <v>711</v>
      </c>
      <c r="J7" s="937"/>
      <c r="K7" s="937"/>
      <c r="L7" s="937"/>
      <c r="M7" s="937"/>
      <c r="N7" s="937"/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937"/>
      <c r="AA7" s="937"/>
      <c r="AB7" s="937"/>
      <c r="AC7" s="937"/>
      <c r="AD7" s="937"/>
      <c r="AE7" s="937"/>
      <c r="AF7" s="937"/>
      <c r="AG7" s="937"/>
      <c r="AH7" s="937"/>
      <c r="AI7" s="937"/>
      <c r="AJ7" s="937"/>
      <c r="AK7" s="937"/>
      <c r="AL7" s="937"/>
      <c r="AM7" s="937"/>
      <c r="AN7" s="937"/>
      <c r="AO7" s="937"/>
      <c r="AP7" s="937"/>
      <c r="AQ7" s="937"/>
      <c r="AR7" s="937"/>
      <c r="AS7" s="937"/>
      <c r="AT7" s="937"/>
      <c r="AU7" s="937"/>
      <c r="AV7" s="937"/>
      <c r="AW7" s="937"/>
      <c r="AX7" s="937"/>
      <c r="AY7" s="937"/>
      <c r="AZ7" s="937"/>
      <c r="BA7" s="937"/>
      <c r="BB7" s="938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</row>
    <row r="8" spans="1:100" ht="9.1" customHeight="1">
      <c r="A8" s="1"/>
      <c r="B8" s="1"/>
      <c r="C8" s="1"/>
      <c r="D8" s="1"/>
      <c r="E8" s="1"/>
      <c r="F8" s="1"/>
      <c r="G8" s="1"/>
      <c r="H8" s="1"/>
      <c r="I8" s="349"/>
      <c r="J8" s="343"/>
      <c r="K8" s="343"/>
      <c r="L8" s="343"/>
      <c r="M8" s="349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00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5"/>
      <c r="AM8" s="345"/>
      <c r="AN8" s="344"/>
      <c r="AO8" s="345"/>
      <c r="AP8" s="345"/>
      <c r="AQ8" s="345"/>
      <c r="AR8" s="345"/>
      <c r="AS8" s="345"/>
      <c r="AT8" s="345"/>
      <c r="AU8" s="345"/>
      <c r="AV8" s="345"/>
      <c r="AW8" s="296"/>
      <c r="AX8" s="296"/>
      <c r="AY8" s="296"/>
      <c r="AZ8" s="296"/>
      <c r="BA8" s="296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</row>
    <row r="9" spans="1:100" ht="16" customHeight="1">
      <c r="A9" s="1"/>
      <c r="B9" s="1"/>
      <c r="C9" s="1"/>
      <c r="D9" s="1"/>
      <c r="E9" s="1"/>
      <c r="F9" s="1"/>
      <c r="G9" s="1"/>
      <c r="H9" s="1"/>
      <c r="I9" s="1"/>
      <c r="J9" s="301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44"/>
      <c r="W9" s="300"/>
      <c r="X9" s="300"/>
      <c r="Y9" s="300"/>
      <c r="Z9" s="344"/>
      <c r="AA9" s="300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45"/>
      <c r="AM9" s="345"/>
      <c r="AN9" s="344"/>
      <c r="AO9" s="345"/>
      <c r="AP9" s="345"/>
      <c r="AQ9" s="345"/>
      <c r="AR9" s="345"/>
      <c r="AS9" s="345"/>
      <c r="AT9" s="345"/>
      <c r="AU9" s="347"/>
      <c r="AV9" s="345"/>
      <c r="AW9" s="296"/>
      <c r="AX9" s="296"/>
      <c r="AY9" s="296"/>
      <c r="AZ9" s="296"/>
      <c r="BA9" s="296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</row>
    <row r="10" spans="1:100" ht="16" customHeight="1">
      <c r="A10" s="1"/>
      <c r="B10" s="1"/>
      <c r="C10" s="1"/>
      <c r="D10" s="1"/>
      <c r="E10" s="1"/>
      <c r="F10" s="1"/>
      <c r="G10" s="1"/>
      <c r="H10" s="1"/>
      <c r="I10" s="1"/>
      <c r="J10" s="301"/>
      <c r="K10" s="300"/>
      <c r="L10" s="300"/>
      <c r="M10" s="300"/>
      <c r="N10" s="300"/>
      <c r="O10" s="300"/>
      <c r="P10" s="300"/>
      <c r="Q10" s="351"/>
      <c r="R10" s="352"/>
      <c r="S10" s="352"/>
      <c r="T10" s="352"/>
      <c r="U10" s="352"/>
      <c r="V10" s="344" t="s">
        <v>802</v>
      </c>
      <c r="W10" s="352"/>
      <c r="X10" s="344"/>
      <c r="Y10" s="352"/>
      <c r="Z10" s="344"/>
      <c r="AA10" s="352"/>
      <c r="AB10" s="352"/>
      <c r="AC10" s="352"/>
      <c r="AD10" s="337"/>
      <c r="AE10" s="337"/>
      <c r="AF10" s="337"/>
      <c r="AG10" s="337"/>
      <c r="AH10" s="337"/>
      <c r="AI10" s="337"/>
      <c r="AJ10" s="337"/>
      <c r="AK10" s="337"/>
      <c r="AL10" s="345"/>
      <c r="AM10" s="345"/>
      <c r="AN10" s="344"/>
      <c r="AO10" s="345"/>
      <c r="AP10" s="345"/>
      <c r="AQ10" s="345"/>
      <c r="AR10" s="345"/>
      <c r="AS10" s="345"/>
      <c r="AT10" s="345"/>
      <c r="AU10" s="347" t="s">
        <v>806</v>
      </c>
      <c r="AV10" s="345"/>
      <c r="AW10" s="347"/>
      <c r="AX10" s="7"/>
      <c r="AY10" s="347"/>
      <c r="AZ10" s="7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</row>
    <row r="11" spans="1:100" ht="16" customHeight="1">
      <c r="F11" s="1"/>
      <c r="J11" s="302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44" t="s">
        <v>803</v>
      </c>
      <c r="W11" s="300"/>
      <c r="X11" s="344"/>
      <c r="Y11" s="300"/>
      <c r="Z11" s="344"/>
      <c r="AA11" s="300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45"/>
      <c r="AM11" s="345"/>
      <c r="AN11" s="344"/>
      <c r="AO11" s="345"/>
      <c r="AP11" s="345"/>
      <c r="AQ11" s="345"/>
      <c r="AR11" s="345"/>
      <c r="AS11" s="345"/>
      <c r="AT11" s="345"/>
      <c r="AU11" s="347" t="s">
        <v>805</v>
      </c>
      <c r="AV11" s="345"/>
      <c r="AW11" s="347"/>
      <c r="AY11" s="347"/>
    </row>
    <row r="12" spans="1:100" ht="16" customHeight="1">
      <c r="A12" s="1"/>
      <c r="B12" s="1"/>
      <c r="C12" s="1"/>
      <c r="D12" s="1"/>
      <c r="E12" s="1"/>
      <c r="F12" s="1"/>
      <c r="G12" s="1"/>
      <c r="H12" s="1"/>
      <c r="I12" s="1"/>
      <c r="J12" s="301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0"/>
      <c r="V12" s="344" t="s">
        <v>430</v>
      </c>
      <c r="W12" s="300"/>
      <c r="X12" s="344"/>
      <c r="Y12" s="300"/>
      <c r="Z12" s="344"/>
      <c r="AA12" s="300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345"/>
      <c r="AM12" s="345"/>
      <c r="AN12" s="344"/>
      <c r="AO12" s="345"/>
      <c r="AP12" s="345"/>
      <c r="AQ12" s="345"/>
      <c r="AR12" s="345"/>
      <c r="AS12" s="345"/>
      <c r="AT12" s="345"/>
      <c r="AU12" s="347" t="s">
        <v>438</v>
      </c>
      <c r="AV12" s="345"/>
      <c r="AW12" s="347"/>
      <c r="AX12" s="17"/>
      <c r="AY12" s="347"/>
      <c r="AZ12" s="347"/>
      <c r="BA12" s="17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</row>
    <row r="13" spans="1:100" ht="16" customHeight="1">
      <c r="A13" s="1"/>
      <c r="B13" s="1"/>
      <c r="C13" s="1"/>
      <c r="D13" s="1"/>
      <c r="E13" s="1"/>
      <c r="F13" s="1"/>
      <c r="G13" s="1"/>
      <c r="H13" s="1"/>
      <c r="I13" s="1"/>
      <c r="J13" s="301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44" t="s">
        <v>431</v>
      </c>
      <c r="W13" s="300"/>
      <c r="X13" s="344"/>
      <c r="Y13" s="300"/>
      <c r="Z13" s="344"/>
      <c r="AA13" s="300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  <c r="AL13" s="346"/>
      <c r="AM13" s="346"/>
      <c r="AN13" s="346"/>
      <c r="AO13" s="346"/>
      <c r="AP13" s="346"/>
      <c r="AQ13" s="346"/>
      <c r="AR13" s="346"/>
      <c r="AS13" s="346"/>
      <c r="AT13" s="346"/>
      <c r="AU13" s="347" t="s">
        <v>455</v>
      </c>
      <c r="AV13" s="346"/>
      <c r="AW13" s="347"/>
      <c r="AX13" s="7"/>
      <c r="AY13" s="347"/>
      <c r="AZ13" s="7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</row>
    <row r="14" spans="1:100" ht="16" customHeight="1">
      <c r="A14" s="1"/>
      <c r="B14" s="1"/>
      <c r="C14" s="1"/>
      <c r="D14" s="1"/>
      <c r="E14" s="1"/>
      <c r="F14" s="1"/>
      <c r="G14" s="1"/>
      <c r="H14" s="1"/>
      <c r="I14" s="1"/>
      <c r="J14" s="301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44" t="s">
        <v>432</v>
      </c>
      <c r="W14" s="300"/>
      <c r="X14" s="344"/>
      <c r="Y14" s="300"/>
      <c r="Z14" s="344"/>
      <c r="AA14" s="300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45"/>
      <c r="AM14" s="345"/>
      <c r="AN14" s="344"/>
      <c r="AO14" s="345"/>
      <c r="AP14" s="345"/>
      <c r="AQ14" s="345"/>
      <c r="AR14" s="345"/>
      <c r="AS14" s="345"/>
      <c r="AT14" s="345"/>
      <c r="AU14" s="347" t="s">
        <v>439</v>
      </c>
      <c r="AV14" s="345"/>
      <c r="AW14" s="347"/>
      <c r="AX14" s="7"/>
      <c r="AY14" s="347"/>
      <c r="AZ14" s="7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</row>
    <row r="15" spans="1:100" ht="16" customHeight="1">
      <c r="A15" s="1"/>
      <c r="B15" s="1"/>
      <c r="C15" s="1"/>
      <c r="D15" s="1"/>
      <c r="E15" s="1"/>
      <c r="F15" s="1"/>
      <c r="G15" s="1"/>
      <c r="H15" s="1"/>
      <c r="I15" s="1"/>
      <c r="J15" s="301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44" t="s">
        <v>433</v>
      </c>
      <c r="W15" s="300"/>
      <c r="X15" s="344"/>
      <c r="Y15" s="300"/>
      <c r="Z15" s="344"/>
      <c r="AA15" s="300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  <c r="AN15" s="346"/>
      <c r="AO15" s="346"/>
      <c r="AP15" s="346"/>
      <c r="AQ15" s="346"/>
      <c r="AR15" s="346"/>
      <c r="AS15" s="346"/>
      <c r="AT15" s="346"/>
      <c r="AU15" s="347" t="s">
        <v>440</v>
      </c>
      <c r="AV15" s="346"/>
      <c r="AW15" s="7"/>
      <c r="AX15" s="7"/>
      <c r="AY15" s="7"/>
      <c r="AZ15" s="7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</row>
    <row r="16" spans="1:100" ht="16" customHeight="1">
      <c r="A16" s="931"/>
      <c r="B16" s="931"/>
      <c r="C16" s="1"/>
      <c r="D16" s="1"/>
      <c r="E16" s="1"/>
      <c r="F16" s="1"/>
      <c r="G16" s="1"/>
      <c r="H16" s="1"/>
      <c r="I16" s="1"/>
      <c r="J16" s="301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  <c r="AO16" s="328"/>
      <c r="AP16" s="328"/>
      <c r="AQ16" s="328"/>
      <c r="AR16" s="328"/>
      <c r="AS16" s="328"/>
      <c r="AT16" s="328"/>
      <c r="AU16" s="358"/>
      <c r="AV16" s="328"/>
      <c r="AW16" s="9"/>
      <c r="AX16" s="9"/>
      <c r="AY16" s="9"/>
      <c r="AZ16" s="9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</row>
    <row r="17" spans="1:100" ht="16" customHeight="1">
      <c r="A17" s="932"/>
      <c r="B17" s="933"/>
      <c r="C17" s="933"/>
      <c r="D17" s="933"/>
      <c r="E17" s="2"/>
      <c r="F17" s="2"/>
      <c r="G17" s="1"/>
      <c r="H17" s="1"/>
      <c r="I17" s="1"/>
      <c r="J17" s="301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28"/>
      <c r="AM17" s="328"/>
      <c r="AN17" s="328"/>
      <c r="AO17" s="328"/>
      <c r="AP17" s="328"/>
      <c r="AQ17" s="328"/>
      <c r="AR17" s="328"/>
      <c r="AS17" s="328"/>
      <c r="AT17" s="328"/>
      <c r="AU17" s="12"/>
      <c r="AV17" s="328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</row>
    <row r="18" spans="1:100" ht="16" customHeight="1">
      <c r="A18" s="303"/>
      <c r="B18" s="3"/>
      <c r="C18" s="3"/>
      <c r="D18" s="3"/>
      <c r="E18" s="2"/>
      <c r="F18" s="2"/>
      <c r="G18" s="1"/>
      <c r="H18" s="1"/>
      <c r="I18" s="1"/>
      <c r="J18" s="301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300"/>
      <c r="Z18" s="300"/>
      <c r="AA18" s="300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28"/>
      <c r="AM18" s="328"/>
      <c r="AN18" s="328"/>
      <c r="AO18" s="328"/>
      <c r="AP18" s="328"/>
      <c r="AQ18" s="328"/>
      <c r="AR18" s="328"/>
      <c r="AS18" s="328"/>
      <c r="AT18" s="328"/>
      <c r="AU18" s="12"/>
      <c r="AV18" s="328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</row>
    <row r="19" spans="1:100" ht="16" customHeight="1">
      <c r="A19" s="303"/>
      <c r="B19" s="3"/>
      <c r="C19" s="3"/>
      <c r="D19" s="3"/>
      <c r="E19" s="2"/>
      <c r="F19" s="2"/>
      <c r="G19" s="1"/>
      <c r="H19" s="1"/>
      <c r="I19" s="1"/>
      <c r="J19" s="301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642" t="s">
        <v>804</v>
      </c>
      <c r="W19" s="300"/>
      <c r="X19" s="300"/>
      <c r="Y19" s="300"/>
      <c r="Z19" s="300"/>
      <c r="AA19" s="300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28"/>
      <c r="AM19" s="328"/>
      <c r="AN19" s="328"/>
      <c r="AO19" s="328"/>
      <c r="AP19" s="328"/>
      <c r="AQ19" s="328"/>
      <c r="AR19" s="328"/>
      <c r="AS19" s="328"/>
      <c r="AT19" s="328"/>
      <c r="AU19" s="326" t="s">
        <v>534</v>
      </c>
      <c r="AV19" s="328"/>
      <c r="AW19" s="326"/>
      <c r="AX19" s="1"/>
      <c r="AY19" s="326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</row>
    <row r="20" spans="1:100" ht="16" customHeight="1">
      <c r="A20" s="304"/>
      <c r="B20" s="304"/>
      <c r="C20" s="304"/>
      <c r="D20" s="304"/>
      <c r="E20" s="10"/>
      <c r="F20" s="1"/>
      <c r="G20" s="1"/>
      <c r="H20" s="1"/>
      <c r="I20" s="1"/>
      <c r="J20" s="301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56"/>
      <c r="W20" s="325"/>
      <c r="X20" s="325"/>
      <c r="Y20" s="325"/>
      <c r="Z20" s="325"/>
      <c r="AA20" s="325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28"/>
      <c r="AM20" s="328"/>
      <c r="AN20" s="328"/>
      <c r="AO20" s="328"/>
      <c r="AP20" s="328"/>
      <c r="AQ20" s="328"/>
      <c r="AR20" s="328"/>
      <c r="AS20" s="328"/>
      <c r="AT20" s="328"/>
      <c r="AU20" s="326" t="s">
        <v>452</v>
      </c>
      <c r="AV20" s="328"/>
      <c r="AW20" s="326"/>
      <c r="AX20" s="1"/>
      <c r="AY20" s="326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</row>
    <row r="21" spans="1:100" ht="16" customHeight="1">
      <c r="A21" s="15"/>
      <c r="B21" s="13"/>
      <c r="C21" s="3"/>
      <c r="D21" s="3"/>
      <c r="E21" s="3"/>
      <c r="F21" s="3"/>
      <c r="G21" s="3"/>
      <c r="H21" s="3"/>
      <c r="I21" s="3"/>
      <c r="J21" s="4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46"/>
      <c r="W21" s="325"/>
      <c r="X21" s="346"/>
      <c r="Y21" s="325"/>
      <c r="Z21" s="346"/>
      <c r="AA21" s="325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28"/>
      <c r="AM21" s="328"/>
      <c r="AN21" s="328"/>
      <c r="AO21" s="328"/>
      <c r="AP21" s="328"/>
      <c r="AQ21" s="328"/>
      <c r="AR21" s="328"/>
      <c r="AS21" s="328"/>
      <c r="AT21" s="328"/>
      <c r="AU21" s="326" t="s">
        <v>533</v>
      </c>
      <c r="AV21" s="328"/>
      <c r="AW21" s="326"/>
      <c r="AX21" s="3"/>
      <c r="AY21" s="326"/>
      <c r="AZ21" s="3"/>
      <c r="BA21" s="3"/>
      <c r="BB21" s="3"/>
      <c r="BC21" s="3"/>
      <c r="BD21" s="3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</row>
    <row r="22" spans="1:100" ht="16" customHeight="1">
      <c r="A22" s="1"/>
      <c r="B22" s="1"/>
      <c r="C22" s="1"/>
      <c r="D22" s="1"/>
      <c r="E22" s="1"/>
      <c r="F22" s="1"/>
      <c r="G22" s="1"/>
      <c r="H22" s="1"/>
      <c r="I22" s="1"/>
      <c r="J22" s="301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46"/>
      <c r="W22" s="325"/>
      <c r="X22" s="353"/>
      <c r="Y22" s="325"/>
      <c r="Z22" s="353"/>
      <c r="AA22" s="325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26" t="s">
        <v>872</v>
      </c>
      <c r="AV22" s="347"/>
      <c r="AW22" s="326"/>
      <c r="AX22" s="1"/>
      <c r="AY22" s="326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</row>
    <row r="23" spans="1:100" ht="16" customHeight="1">
      <c r="A23" s="1"/>
      <c r="B23" s="1"/>
      <c r="C23" s="1"/>
      <c r="D23" s="1"/>
      <c r="E23" s="1"/>
      <c r="F23" s="1"/>
      <c r="G23" s="1"/>
      <c r="H23" s="1"/>
      <c r="I23" s="1"/>
      <c r="J23" s="301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56"/>
      <c r="W23" s="325"/>
      <c r="X23" s="325"/>
      <c r="Y23" s="325"/>
      <c r="Z23" s="325"/>
      <c r="AA23" s="325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47"/>
      <c r="AM23" s="347"/>
      <c r="AN23" s="347"/>
      <c r="AO23" s="347"/>
      <c r="AP23" s="347"/>
      <c r="AQ23" s="347"/>
      <c r="AR23" s="347"/>
      <c r="AS23" s="347"/>
      <c r="AT23" s="347"/>
      <c r="AU23" s="326" t="s">
        <v>433</v>
      </c>
      <c r="AV23" s="347"/>
      <c r="AW23" s="326"/>
      <c r="AX23" s="1"/>
      <c r="AY23" s="326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</row>
    <row r="24" spans="1:100" ht="16" customHeight="1">
      <c r="A24" s="1"/>
      <c r="B24" s="1"/>
      <c r="C24" s="1"/>
      <c r="D24" s="1"/>
      <c r="E24" s="1"/>
      <c r="F24" s="1"/>
      <c r="G24" s="1"/>
      <c r="H24" s="1"/>
      <c r="I24" s="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57"/>
      <c r="W24" s="301"/>
      <c r="X24" s="301"/>
      <c r="Y24" s="301"/>
      <c r="Z24" s="301"/>
      <c r="AA24" s="301"/>
      <c r="AB24" s="338"/>
      <c r="AC24" s="338"/>
      <c r="AD24" s="338"/>
      <c r="AE24" s="338"/>
      <c r="AF24" s="338"/>
      <c r="AG24" s="338"/>
      <c r="AH24" s="338"/>
      <c r="AI24" s="338"/>
      <c r="AJ24" s="338"/>
      <c r="AK24" s="338"/>
      <c r="AL24" s="347"/>
      <c r="AM24" s="347"/>
      <c r="AN24" s="347"/>
      <c r="AO24" s="347"/>
      <c r="AP24" s="347"/>
      <c r="AQ24" s="347"/>
      <c r="AR24" s="347"/>
      <c r="AS24" s="347"/>
      <c r="AT24" s="347"/>
      <c r="AU24" s="326" t="s">
        <v>456</v>
      </c>
      <c r="AV24" s="347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</row>
    <row r="25" spans="1:100" ht="16" customHeight="1">
      <c r="A25" s="1"/>
      <c r="B25" s="1"/>
      <c r="C25" s="1"/>
      <c r="D25" s="1"/>
      <c r="E25" s="1"/>
      <c r="F25" s="1"/>
      <c r="G25" s="1"/>
      <c r="H25" s="1"/>
      <c r="I25" s="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46" t="s">
        <v>453</v>
      </c>
      <c r="W25" s="301"/>
      <c r="X25" s="301"/>
      <c r="Y25" s="301"/>
      <c r="Z25" s="301"/>
      <c r="AA25" s="301"/>
      <c r="AB25" s="338"/>
      <c r="AC25" s="338"/>
      <c r="AD25" s="338"/>
      <c r="AE25" s="338"/>
      <c r="AF25" s="338"/>
      <c r="AG25" s="338"/>
      <c r="AH25" s="338"/>
      <c r="AI25" s="338"/>
      <c r="AJ25" s="338"/>
      <c r="AK25" s="338"/>
      <c r="AL25" s="347"/>
      <c r="AM25" s="347"/>
      <c r="AN25" s="347"/>
      <c r="AO25" s="347"/>
      <c r="AP25" s="347"/>
      <c r="AQ25" s="347"/>
      <c r="AR25" s="347"/>
      <c r="AS25" s="347"/>
      <c r="AT25" s="347"/>
      <c r="AU25" s="12"/>
      <c r="AV25" s="347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</row>
    <row r="26" spans="1:100" ht="16" customHeight="1">
      <c r="A26" s="1"/>
      <c r="B26" s="1"/>
      <c r="C26" s="1"/>
      <c r="D26" s="1"/>
      <c r="E26" s="1"/>
      <c r="F26" s="1"/>
      <c r="G26" s="1"/>
      <c r="H26" s="1"/>
      <c r="I26" s="1"/>
      <c r="J26" s="30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46" t="s">
        <v>535</v>
      </c>
      <c r="W26" s="301"/>
      <c r="X26" s="301"/>
      <c r="Y26" s="301"/>
      <c r="Z26" s="301"/>
      <c r="AA26" s="301"/>
      <c r="AB26" s="338"/>
      <c r="AC26" s="338"/>
      <c r="AD26" s="338"/>
      <c r="AE26" s="338"/>
      <c r="AF26" s="338"/>
      <c r="AG26" s="338"/>
      <c r="AH26" s="338"/>
      <c r="AI26" s="338"/>
      <c r="AJ26" s="338"/>
      <c r="AK26" s="338"/>
      <c r="AL26" s="347"/>
      <c r="AM26" s="347"/>
      <c r="AN26" s="347"/>
      <c r="AO26" s="347"/>
      <c r="AP26" s="347"/>
      <c r="AQ26" s="347"/>
      <c r="AR26" s="347"/>
      <c r="AS26" s="347"/>
      <c r="AT26" s="347"/>
      <c r="AU26" s="12"/>
      <c r="AV26" s="347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</row>
    <row r="27" spans="1:100" ht="16" customHeight="1">
      <c r="A27" s="1"/>
      <c r="B27" s="1"/>
      <c r="C27" s="1"/>
      <c r="D27" s="1"/>
      <c r="E27" s="1"/>
      <c r="F27" s="1"/>
      <c r="G27" s="1"/>
      <c r="H27" s="1"/>
      <c r="I27" s="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57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12"/>
      <c r="AV27" s="30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</row>
    <row r="28" spans="1:100" ht="21.9" customHeight="1">
      <c r="A28" s="1"/>
      <c r="B28" s="1"/>
      <c r="C28" s="1"/>
      <c r="D28" s="1"/>
      <c r="E28" s="1"/>
      <c r="F28" s="1"/>
      <c r="G28" s="1"/>
      <c r="H28" s="1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8"/>
      <c r="W28" s="327"/>
      <c r="X28" s="328"/>
      <c r="Y28" s="327"/>
      <c r="Z28" s="328"/>
      <c r="AA28" s="30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12"/>
      <c r="AV28" s="326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</row>
    <row r="29" spans="1:100" ht="16" customHeight="1">
      <c r="A29" s="1"/>
      <c r="B29" s="1"/>
      <c r="C29" s="1"/>
      <c r="D29" s="1"/>
      <c r="E29" s="1"/>
      <c r="F29" s="1"/>
      <c r="G29" s="1"/>
      <c r="H29" s="1"/>
      <c r="I29" s="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28"/>
      <c r="W29" s="301"/>
      <c r="X29" s="328"/>
      <c r="Y29" s="301"/>
      <c r="Z29" s="328"/>
      <c r="AA29" s="301"/>
      <c r="AB29" s="340"/>
      <c r="AC29" s="340"/>
      <c r="AD29" s="340"/>
      <c r="AE29" s="340"/>
      <c r="AF29" s="340"/>
      <c r="AG29" s="340"/>
      <c r="AH29" s="340"/>
      <c r="AI29" s="340"/>
      <c r="AJ29" s="340"/>
      <c r="AK29" s="340"/>
      <c r="AL29" s="326"/>
      <c r="AM29" s="326"/>
      <c r="AN29" s="326"/>
      <c r="AO29" s="326"/>
      <c r="AP29" s="326"/>
      <c r="AQ29" s="326"/>
      <c r="AR29" s="326"/>
      <c r="AS29" s="326"/>
      <c r="AT29" s="326"/>
      <c r="AV29" s="326"/>
      <c r="AW29" s="348"/>
      <c r="AX29" s="1"/>
      <c r="AY29" s="348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</row>
    <row r="30" spans="1:100" ht="16" customHeight="1">
      <c r="A30" s="1"/>
      <c r="B30" s="1"/>
      <c r="C30" s="1"/>
      <c r="D30" s="1"/>
      <c r="E30" s="1"/>
      <c r="F30" s="1"/>
      <c r="G30" s="1"/>
      <c r="H30" s="1"/>
      <c r="I30" s="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28"/>
      <c r="W30" s="301"/>
      <c r="X30" s="328"/>
      <c r="Y30" s="301"/>
      <c r="Z30" s="328"/>
      <c r="AA30" s="30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V30" s="326"/>
      <c r="AW30" s="348"/>
      <c r="AX30" s="1"/>
      <c r="AY30" s="348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</row>
    <row r="31" spans="1:100" ht="16" customHeight="1">
      <c r="A31" s="1"/>
      <c r="B31" s="1"/>
      <c r="C31" s="1"/>
      <c r="D31" s="1"/>
      <c r="E31" s="1"/>
      <c r="F31" s="1"/>
      <c r="G31" s="1"/>
      <c r="H31" s="1"/>
      <c r="I31" s="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28" t="s">
        <v>435</v>
      </c>
      <c r="W31" s="301"/>
      <c r="X31" s="328"/>
      <c r="Y31" s="301"/>
      <c r="Z31" s="328"/>
      <c r="AA31" s="301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26"/>
      <c r="AM31" s="326"/>
      <c r="AN31" s="326"/>
      <c r="AO31" s="326"/>
      <c r="AP31" s="326"/>
      <c r="AQ31" s="326"/>
      <c r="AR31" s="326"/>
      <c r="AS31" s="326"/>
      <c r="AT31" s="326"/>
      <c r="AU31" s="348" t="s">
        <v>441</v>
      </c>
      <c r="AV31" s="326"/>
      <c r="AW31" s="355"/>
      <c r="AX31" s="1"/>
      <c r="AY31" s="354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</row>
    <row r="32" spans="1:100" ht="16" customHeight="1">
      <c r="A32" s="1"/>
      <c r="B32" s="1"/>
      <c r="C32" s="1"/>
      <c r="D32" s="1"/>
      <c r="E32" s="1"/>
      <c r="F32" s="1"/>
      <c r="G32" s="1"/>
      <c r="H32" s="1"/>
      <c r="I32" s="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28" t="s">
        <v>436</v>
      </c>
      <c r="W32" s="301"/>
      <c r="X32" s="328"/>
      <c r="Y32" s="301"/>
      <c r="Z32" s="328"/>
      <c r="AA32" s="301"/>
      <c r="AB32" s="342"/>
      <c r="AC32" s="342"/>
      <c r="AD32" s="342"/>
      <c r="AE32" s="342"/>
      <c r="AF32" s="342"/>
      <c r="AG32" s="342"/>
      <c r="AH32" s="342"/>
      <c r="AI32" s="342"/>
      <c r="AJ32" s="342"/>
      <c r="AK32" s="342"/>
      <c r="AL32" s="326"/>
      <c r="AM32" s="326"/>
      <c r="AN32" s="326"/>
      <c r="AO32" s="326"/>
      <c r="AP32" s="326"/>
      <c r="AQ32" s="326"/>
      <c r="AR32" s="326"/>
      <c r="AS32" s="326"/>
      <c r="AT32" s="326"/>
      <c r="AU32" s="348" t="s">
        <v>532</v>
      </c>
      <c r="AV32" s="326"/>
      <c r="AW32" s="34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</row>
    <row r="33" spans="1:100" ht="16" customHeight="1">
      <c r="A33" s="1"/>
      <c r="B33" s="1"/>
      <c r="C33" s="1"/>
      <c r="D33" s="1"/>
      <c r="E33" s="1"/>
      <c r="F33" s="1"/>
      <c r="G33" s="1"/>
      <c r="H33" s="1"/>
      <c r="I33" s="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28" t="s">
        <v>437</v>
      </c>
      <c r="W33" s="301"/>
      <c r="X33" s="328"/>
      <c r="Y33" s="301"/>
      <c r="Z33" s="328"/>
      <c r="AA33" s="301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  <c r="AU33" s="355" t="s">
        <v>457</v>
      </c>
      <c r="AV33" s="348"/>
      <c r="AW33" s="34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</row>
    <row r="34" spans="1:100" ht="15.6">
      <c r="A34" s="1"/>
      <c r="B34" s="1"/>
      <c r="C34" s="1"/>
      <c r="D34" s="1"/>
      <c r="E34" s="1"/>
      <c r="F34" s="1"/>
      <c r="G34" s="1"/>
      <c r="H34" s="1"/>
      <c r="I34" s="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28" t="s">
        <v>454</v>
      </c>
      <c r="W34" s="301"/>
      <c r="X34" s="301"/>
      <c r="Y34" s="301"/>
      <c r="Z34" s="301"/>
      <c r="AA34" s="301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48"/>
      <c r="AM34" s="348"/>
      <c r="AN34" s="348"/>
      <c r="AO34" s="348"/>
      <c r="AP34" s="348"/>
      <c r="AQ34" s="348"/>
      <c r="AR34" s="348"/>
      <c r="AS34" s="348"/>
      <c r="AT34" s="348"/>
      <c r="AU34" s="348"/>
      <c r="AV34" s="348"/>
      <c r="AW34" s="34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</row>
    <row r="35" spans="1:100" ht="15.6">
      <c r="A35" s="1"/>
      <c r="B35" s="1"/>
      <c r="C35" s="1"/>
      <c r="D35" s="1"/>
      <c r="E35" s="1"/>
      <c r="F35" s="1"/>
      <c r="G35" s="1"/>
      <c r="H35" s="1"/>
      <c r="I35" s="1"/>
      <c r="J35" s="30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28" t="s">
        <v>434</v>
      </c>
      <c r="W35" s="301"/>
      <c r="X35" s="301"/>
      <c r="Y35" s="301"/>
      <c r="Z35" s="301"/>
      <c r="AA35" s="301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  <c r="AP35" s="339"/>
      <c r="AQ35" s="339"/>
      <c r="AR35" s="339"/>
      <c r="AS35" s="339"/>
      <c r="AT35" s="339"/>
      <c r="AU35" s="339"/>
      <c r="AV35" s="339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</row>
    <row r="36" spans="1:100" ht="15.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328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</row>
    <row r="37" spans="1:100" ht="15.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328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</row>
    <row r="38" spans="1:10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</row>
    <row r="39" spans="1:10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</row>
    <row r="40" spans="1:10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</row>
    <row r="41" spans="1:10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</row>
    <row r="42" spans="1:10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</row>
    <row r="43" spans="1:10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</row>
    <row r="44" spans="1:10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</row>
    <row r="45" spans="1:10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</row>
    <row r="46" spans="1:10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</row>
    <row r="47" spans="1:10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</row>
    <row r="48" spans="1:10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</row>
    <row r="49" spans="1:10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</row>
    <row r="50" spans="1:10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</row>
    <row r="51" spans="1:10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</row>
    <row r="52" spans="1:10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</row>
    <row r="53" spans="1:10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</row>
    <row r="54" spans="1:10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</row>
    <row r="55" spans="1:10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</row>
    <row r="56" spans="1:10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</row>
    <row r="57" spans="1:10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</row>
    <row r="58" spans="1:10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</row>
    <row r="59" spans="1:10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</row>
    <row r="60" spans="1:10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</row>
    <row r="61" spans="1:10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</row>
    <row r="62" spans="1:10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</row>
    <row r="63" spans="1:10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</row>
    <row r="64" spans="1:10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</row>
    <row r="65" spans="1:10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</row>
    <row r="66" spans="1:10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</row>
    <row r="67" spans="1:10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</row>
    <row r="68" spans="1:10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</row>
    <row r="69" spans="1:10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</row>
    <row r="70" spans="1:10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</row>
    <row r="71" spans="1:10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</row>
    <row r="72" spans="1:10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</row>
    <row r="73" spans="1:10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</row>
    <row r="74" spans="1:10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</row>
    <row r="75" spans="1:10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</row>
    <row r="76" spans="1:10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</row>
    <row r="77" spans="1:10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</row>
    <row r="78" spans="1:10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</row>
    <row r="79" spans="1:10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</row>
    <row r="80" spans="1:10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</row>
    <row r="81" spans="1:10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</row>
    <row r="82" spans="1:10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</row>
    <row r="83" spans="1:10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</row>
    <row r="84" spans="1:10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</row>
    <row r="85" spans="1:10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</row>
    <row r="86" spans="1:10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</row>
    <row r="87" spans="1:10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</row>
    <row r="88" spans="1:10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</row>
    <row r="89" spans="1:10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</row>
    <row r="90" spans="1:10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</row>
    <row r="91" spans="1:10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</row>
    <row r="92" spans="1:10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</row>
    <row r="93" spans="1:10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</row>
    <row r="94" spans="1:10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</row>
    <row r="95" spans="1:10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</row>
    <row r="96" spans="1:10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</row>
    <row r="97" spans="1:10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</row>
    <row r="98" spans="1:10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</row>
    <row r="99" spans="1:10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</row>
    <row r="100" spans="1: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</row>
    <row r="101" spans="1:10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</row>
    <row r="102" spans="1:10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</row>
    <row r="103" spans="1:10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</row>
    <row r="104" spans="1:10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</row>
    <row r="105" spans="1:10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</row>
    <row r="106" spans="1:10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</row>
    <row r="107" spans="1:10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</row>
    <row r="108" spans="1:10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</row>
    <row r="109" spans="1:10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</row>
    <row r="110" spans="1:10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</row>
    <row r="111" spans="1:10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</row>
    <row r="112" spans="1:10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</row>
    <row r="113" spans="1:10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</row>
    <row r="114" spans="1:10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</row>
    <row r="115" spans="1:10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</row>
    <row r="116" spans="1:10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</row>
    <row r="117" spans="1:10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</row>
    <row r="118" spans="1:10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</row>
    <row r="119" spans="1:10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</row>
    <row r="120" spans="1:10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</row>
    <row r="121" spans="1:10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</row>
    <row r="122" spans="1:10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</row>
    <row r="123" spans="1:10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</row>
    <row r="124" spans="1:10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</row>
    <row r="125" spans="1:10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</row>
    <row r="126" spans="1:10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</row>
    <row r="127" spans="1:10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</row>
    <row r="128" spans="1:10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</row>
    <row r="129" spans="1:10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</row>
    <row r="130" spans="1:10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</row>
    <row r="131" spans="1:10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</row>
    <row r="132" spans="1:10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</row>
    <row r="133" spans="1:10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</row>
    <row r="134" spans="1:10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</row>
    <row r="135" spans="1:10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</row>
    <row r="136" spans="1:10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</row>
    <row r="137" spans="1:10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</row>
    <row r="138" spans="1:10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</row>
    <row r="139" spans="1:10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</row>
    <row r="140" spans="1:10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</row>
    <row r="141" spans="1:10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</row>
    <row r="142" spans="1:10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</row>
    <row r="143" spans="1:10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</row>
    <row r="144" spans="1:10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</row>
    <row r="145" spans="1:10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</row>
    <row r="146" spans="1:10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</row>
    <row r="147" spans="1:10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</row>
    <row r="148" spans="1:10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</row>
    <row r="149" spans="1:10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</row>
    <row r="150" spans="1:10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</row>
    <row r="151" spans="1:10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</row>
    <row r="152" spans="1:10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</row>
    <row r="153" spans="1:10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</row>
    <row r="154" spans="1:10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</row>
    <row r="155" spans="1:10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</row>
    <row r="156" spans="1:10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</row>
    <row r="157" spans="1:10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</row>
    <row r="158" spans="1:10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</row>
    <row r="159" spans="1:10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</row>
    <row r="160" spans="1:10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</row>
    <row r="161" spans="1:10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</row>
    <row r="162" spans="1:10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</row>
    <row r="163" spans="1:10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</row>
    <row r="164" spans="1:10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</row>
    <row r="165" spans="1:10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</row>
    <row r="166" spans="1:10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</row>
    <row r="167" spans="1:10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</row>
    <row r="168" spans="1:10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</row>
    <row r="169" spans="1:10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</row>
    <row r="170" spans="1:10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</row>
    <row r="171" spans="1:10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</row>
    <row r="172" spans="1:10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</row>
    <row r="173" spans="1:10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</row>
    <row r="174" spans="1:10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</row>
    <row r="175" spans="1:10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</row>
    <row r="176" spans="1:10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</row>
    <row r="177" spans="1:10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</row>
    <row r="178" spans="1:10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</row>
    <row r="179" spans="1:10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</row>
    <row r="180" spans="1:10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</row>
    <row r="181" spans="1:10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</row>
    <row r="182" spans="1:10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</row>
    <row r="183" spans="1:10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</row>
    <row r="184" spans="1:10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</row>
    <row r="185" spans="1:10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</row>
    <row r="186" spans="1:10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</row>
    <row r="187" spans="1:10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</row>
    <row r="188" spans="1:10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</row>
    <row r="189" spans="1:10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</row>
    <row r="190" spans="1:10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</row>
    <row r="191" spans="1:10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</row>
    <row r="192" spans="1:10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</row>
    <row r="193" spans="1:10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</row>
    <row r="194" spans="1:10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</row>
    <row r="195" spans="1:100"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</row>
    <row r="196" spans="1:100"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</row>
    <row r="197" spans="1:100"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</row>
    <row r="198" spans="1:100"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</row>
    <row r="199" spans="1:100"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</row>
    <row r="200" spans="1:100"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</row>
    <row r="201" spans="1:100"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</row>
    <row r="202" spans="1:100"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</row>
    <row r="203" spans="1:100"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</row>
  </sheetData>
  <sheetProtection algorithmName="SHA-512" hashValue="i0NPp1NccuEKN+09kuI4A5nOoB7YUL3UW4Ervkqdn1EdSjaFq+xskt2qXWsIOZulFEjojryxf1yOSvRjnEsXFA==" saltValue="wsE7Umax+3AXXF76i7h7GA==" spinCount="100000" sheet="1" objects="1" scenarios="1"/>
  <mergeCells count="7">
    <mergeCell ref="AB3:BC3"/>
    <mergeCell ref="AW5:BA5"/>
    <mergeCell ref="A16:B16"/>
    <mergeCell ref="A17:D17"/>
    <mergeCell ref="I6:BB6"/>
    <mergeCell ref="I7:BB7"/>
    <mergeCell ref="G4:BB4"/>
  </mergeCells>
  <pageMargins left="0.11811023622047245" right="0.15748031496062992" top="0.11811023622047245" bottom="0.19685039370078741" header="0.11811023622047245" footer="0.19685039370078741"/>
  <pageSetup paperSize="9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tabColor rgb="FF002060"/>
    <pageSetUpPr fitToPage="1"/>
  </sheetPr>
  <dimension ref="A1:ED396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defaultRowHeight="14.85"/>
  <cols>
    <col min="1" max="1" width="42.85546875" customWidth="1"/>
    <col min="2" max="3" width="12.7109375" customWidth="1"/>
    <col min="4" max="4" width="16.140625" customWidth="1"/>
    <col min="5" max="5" width="13.7109375" customWidth="1"/>
    <col min="6" max="6" width="15.28515625" customWidth="1"/>
    <col min="7" max="7" width="12.7109375" customWidth="1"/>
    <col min="8" max="8" width="15.140625" customWidth="1"/>
    <col min="9" max="9" width="16.5703125" customWidth="1"/>
    <col min="10" max="11" width="4.7109375" customWidth="1"/>
    <col min="12" max="12" width="16.7109375" customWidth="1"/>
    <col min="13" max="13" width="8.42578125" customWidth="1"/>
    <col min="14" max="15" width="10.7109375" customWidth="1"/>
    <col min="16" max="16" width="8.28515625" customWidth="1"/>
    <col min="17" max="20" width="7.7109375" customWidth="1"/>
    <col min="21" max="54" width="5.7109375" customWidth="1"/>
    <col min="55" max="55" width="9.28515625" customWidth="1"/>
  </cols>
  <sheetData>
    <row r="1" spans="1:134" ht="26">
      <c r="A1" s="61" t="s">
        <v>27</v>
      </c>
      <c r="B1" s="1228" t="s">
        <v>443</v>
      </c>
      <c r="C1" s="1229"/>
      <c r="D1" s="1229"/>
      <c r="E1" s="1229"/>
      <c r="F1" s="1229"/>
      <c r="G1" s="1229"/>
      <c r="H1" s="1229"/>
      <c r="I1" s="1229"/>
      <c r="J1" s="1229"/>
      <c r="K1" s="1229"/>
      <c r="L1" s="1229"/>
      <c r="M1" s="1229"/>
      <c r="N1" s="1229"/>
      <c r="O1" s="1230"/>
      <c r="P1" s="186"/>
      <c r="Q1" s="125"/>
      <c r="R1" s="125"/>
      <c r="S1" s="125"/>
      <c r="T1" s="125"/>
      <c r="U1" s="12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409"/>
      <c r="DH1" s="409"/>
      <c r="DI1" s="409"/>
      <c r="DJ1" s="409"/>
      <c r="DK1" s="409"/>
      <c r="DL1" s="409"/>
      <c r="DM1" s="409"/>
      <c r="DN1" s="409"/>
      <c r="DO1" s="409"/>
      <c r="DP1" s="409"/>
      <c r="DQ1" s="409"/>
      <c r="DR1" s="409"/>
      <c r="DS1" s="409"/>
      <c r="DT1" s="409"/>
      <c r="DU1" s="409"/>
      <c r="DV1" s="409"/>
      <c r="DW1" s="409"/>
      <c r="DX1" s="409"/>
      <c r="DY1" s="409"/>
      <c r="DZ1" s="409"/>
      <c r="EA1" s="409"/>
      <c r="EB1" s="409"/>
      <c r="EC1" s="409"/>
      <c r="ED1" s="409"/>
    </row>
    <row r="2" spans="1:134" ht="20.8">
      <c r="A2" s="61"/>
      <c r="B2" s="1333"/>
      <c r="C2" s="1333"/>
      <c r="D2" s="1333"/>
      <c r="E2" s="1333"/>
      <c r="F2" s="1333"/>
      <c r="G2" s="1333"/>
      <c r="H2" s="1333"/>
      <c r="I2" s="1333"/>
      <c r="J2" s="1333"/>
      <c r="K2" s="1333"/>
      <c r="L2" s="1333"/>
      <c r="M2" s="1333"/>
      <c r="N2" s="1333"/>
      <c r="O2" s="1333"/>
      <c r="P2" s="419"/>
      <c r="Q2" s="125"/>
      <c r="R2" s="125"/>
      <c r="S2" s="125"/>
      <c r="T2" s="125"/>
      <c r="U2" s="12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409"/>
      <c r="DH2" s="409"/>
      <c r="DI2" s="409"/>
      <c r="DJ2" s="409"/>
      <c r="DK2" s="409"/>
      <c r="DL2" s="409"/>
      <c r="DM2" s="409"/>
      <c r="DN2" s="409"/>
      <c r="DO2" s="409"/>
      <c r="DP2" s="409"/>
      <c r="DQ2" s="409"/>
      <c r="DR2" s="409"/>
      <c r="DS2" s="409"/>
      <c r="DT2" s="409"/>
      <c r="DU2" s="409"/>
      <c r="DV2" s="409"/>
      <c r="DW2" s="409"/>
      <c r="DX2" s="409"/>
      <c r="DY2" s="409"/>
      <c r="DZ2" s="409"/>
      <c r="EA2" s="409"/>
      <c r="EB2" s="409"/>
      <c r="EC2" s="409"/>
      <c r="ED2" s="409"/>
    </row>
    <row r="3" spans="1:134" ht="21.9" customHeight="1">
      <c r="A3" s="61"/>
      <c r="B3" s="714" t="s">
        <v>0</v>
      </c>
      <c r="C3" s="1105" t="s">
        <v>74</v>
      </c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6"/>
      <c r="P3" s="187"/>
      <c r="Q3" s="125"/>
      <c r="R3" s="126"/>
      <c r="S3" s="125"/>
      <c r="T3" s="125"/>
      <c r="U3" s="12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409"/>
      <c r="DH3" s="409"/>
      <c r="DI3" s="409"/>
      <c r="DJ3" s="409"/>
      <c r="DK3" s="409"/>
      <c r="DL3" s="409"/>
      <c r="DM3" s="409"/>
      <c r="DN3" s="409"/>
      <c r="DO3" s="409"/>
      <c r="DP3" s="409"/>
      <c r="DQ3" s="409"/>
      <c r="DR3" s="409"/>
      <c r="DS3" s="409"/>
      <c r="DT3" s="409"/>
      <c r="DU3" s="409"/>
      <c r="DV3" s="409"/>
      <c r="DW3" s="409"/>
      <c r="DX3" s="409"/>
      <c r="DY3" s="409"/>
      <c r="DZ3" s="409"/>
      <c r="EA3" s="409"/>
      <c r="EB3" s="409"/>
      <c r="EC3" s="409"/>
      <c r="ED3" s="409"/>
    </row>
    <row r="4" spans="1:134" ht="20.05" customHeight="1">
      <c r="A4" s="61"/>
      <c r="B4" s="1219" t="s">
        <v>24</v>
      </c>
      <c r="C4" s="951"/>
      <c r="D4" s="951"/>
      <c r="E4" s="951"/>
      <c r="F4" s="951"/>
      <c r="G4" s="951"/>
      <c r="H4" s="952"/>
      <c r="I4" s="667" t="s">
        <v>33</v>
      </c>
      <c r="J4" s="174"/>
      <c r="K4" s="165" t="s">
        <v>8</v>
      </c>
      <c r="L4" s="651">
        <f>PRIJZEN!C5</f>
        <v>12.95</v>
      </c>
      <c r="M4" s="166" t="s">
        <v>9</v>
      </c>
      <c r="N4" s="1181" t="str">
        <f>IF(Q4="Minimaal 6 personen!","minimaal 6 personen!",R4)</f>
        <v/>
      </c>
      <c r="O4" s="1182"/>
      <c r="P4" s="412"/>
      <c r="Q4" s="129" t="str">
        <f>IF(AND($J4&gt;0,$J4&lt;6),"minimaal 6 personen!",$R4)</f>
        <v/>
      </c>
      <c r="R4" s="127" t="str">
        <f>IF($J4="","",$J4*$L4)</f>
        <v/>
      </c>
      <c r="S4" s="125"/>
      <c r="T4" s="125"/>
      <c r="U4" s="12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409"/>
      <c r="DH4" s="409"/>
      <c r="DI4" s="409"/>
      <c r="DJ4" s="409"/>
      <c r="DK4" s="409"/>
      <c r="DL4" s="409"/>
      <c r="DM4" s="409"/>
      <c r="DN4" s="409"/>
      <c r="DO4" s="409"/>
      <c r="DP4" s="409"/>
      <c r="DQ4" s="409"/>
      <c r="DR4" s="409"/>
      <c r="DS4" s="409"/>
      <c r="DT4" s="409"/>
      <c r="DU4" s="409"/>
      <c r="DV4" s="409"/>
      <c r="DW4" s="409"/>
      <c r="DX4" s="409"/>
      <c r="DY4" s="409"/>
      <c r="DZ4" s="409"/>
      <c r="EA4" s="409"/>
      <c r="EB4" s="409"/>
      <c r="EC4" s="409"/>
      <c r="ED4" s="409"/>
    </row>
    <row r="5" spans="1:134" ht="20.05" customHeight="1">
      <c r="A5" s="61"/>
      <c r="B5" s="1216" t="s">
        <v>25</v>
      </c>
      <c r="C5" s="1217"/>
      <c r="D5" s="1217"/>
      <c r="E5" s="1217"/>
      <c r="F5" s="1217"/>
      <c r="G5" s="1217"/>
      <c r="H5" s="1218"/>
      <c r="I5" s="668" t="s">
        <v>33</v>
      </c>
      <c r="J5" s="175"/>
      <c r="K5" s="167" t="s">
        <v>8</v>
      </c>
      <c r="L5" s="715">
        <f>PRIJZEN!C6</f>
        <v>15.95</v>
      </c>
      <c r="M5" s="168" t="s">
        <v>9</v>
      </c>
      <c r="N5" s="1200" t="str">
        <f>IF(Q5="Minimaal 6 personen!","minimaal 6 personen!",R5)</f>
        <v/>
      </c>
      <c r="O5" s="1201"/>
      <c r="P5" s="412"/>
      <c r="Q5" s="129" t="str">
        <f>IF(AND($J5&gt;0,$J5&lt;6),"minimaal 6 personen!",$R5)</f>
        <v/>
      </c>
      <c r="R5" s="127" t="str">
        <f>IF($J5="","",$J5*$L5)</f>
        <v/>
      </c>
      <c r="S5" s="125"/>
      <c r="T5" s="125"/>
      <c r="U5" s="12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409"/>
      <c r="DH5" s="409"/>
      <c r="DI5" s="409"/>
      <c r="DJ5" s="409"/>
      <c r="DK5" s="409"/>
      <c r="DL5" s="409"/>
      <c r="DM5" s="409"/>
      <c r="DN5" s="409"/>
      <c r="DO5" s="409"/>
      <c r="DP5" s="409"/>
      <c r="DQ5" s="409"/>
      <c r="DR5" s="409"/>
      <c r="DS5" s="409"/>
      <c r="DT5" s="409"/>
      <c r="DU5" s="409"/>
      <c r="DV5" s="409"/>
      <c r="DW5" s="409"/>
      <c r="DX5" s="409"/>
      <c r="DY5" s="409"/>
      <c r="DZ5" s="409"/>
      <c r="EA5" s="409"/>
      <c r="EB5" s="409"/>
      <c r="EC5" s="409"/>
      <c r="ED5" s="409"/>
    </row>
    <row r="6" spans="1:134" ht="21.9" customHeight="1">
      <c r="A6" s="61"/>
      <c r="B6" s="714" t="s">
        <v>75</v>
      </c>
      <c r="C6" s="1104" t="s">
        <v>73</v>
      </c>
      <c r="D6" s="1105"/>
      <c r="E6" s="1105"/>
      <c r="F6" s="1105"/>
      <c r="G6" s="1105"/>
      <c r="H6" s="1105"/>
      <c r="I6" s="1163"/>
      <c r="J6" s="1105"/>
      <c r="K6" s="1105"/>
      <c r="L6" s="1105"/>
      <c r="M6" s="1105"/>
      <c r="N6" s="1105"/>
      <c r="O6" s="1106"/>
      <c r="P6" s="187"/>
      <c r="Q6" s="125"/>
      <c r="R6" s="128"/>
      <c r="S6" s="577"/>
      <c r="T6" s="577"/>
      <c r="U6" s="577"/>
      <c r="V6" s="190"/>
      <c r="W6" s="190"/>
      <c r="X6" s="190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409"/>
      <c r="DH6" s="409"/>
      <c r="DI6" s="409"/>
      <c r="DJ6" s="409"/>
      <c r="DK6" s="409"/>
      <c r="DL6" s="409"/>
      <c r="DM6" s="409"/>
      <c r="DN6" s="409"/>
      <c r="DO6" s="409"/>
      <c r="DP6" s="409"/>
      <c r="DQ6" s="409"/>
      <c r="DR6" s="409"/>
      <c r="DS6" s="409"/>
      <c r="DT6" s="409"/>
      <c r="DU6" s="409"/>
      <c r="DV6" s="409"/>
      <c r="DW6" s="409"/>
      <c r="DX6" s="409"/>
      <c r="DY6" s="409"/>
      <c r="DZ6" s="409"/>
      <c r="EA6" s="409"/>
      <c r="EB6" s="409"/>
      <c r="EC6" s="409"/>
      <c r="ED6" s="409"/>
    </row>
    <row r="7" spans="1:134" ht="20.05" customHeight="1">
      <c r="A7" s="61"/>
      <c r="B7" s="1219" t="s">
        <v>7</v>
      </c>
      <c r="C7" s="951"/>
      <c r="D7" s="951"/>
      <c r="E7" s="951"/>
      <c r="F7" s="951"/>
      <c r="G7" s="951"/>
      <c r="H7" s="952"/>
      <c r="I7" s="669" t="s">
        <v>33</v>
      </c>
      <c r="J7" s="176"/>
      <c r="K7" s="169" t="s">
        <v>8</v>
      </c>
      <c r="L7" s="651">
        <f>PRIJZEN!C7</f>
        <v>9.9499999999999993</v>
      </c>
      <c r="M7" s="166" t="s">
        <v>9</v>
      </c>
      <c r="N7" s="1231" t="str">
        <f>IF(Q7="Minimaal 6 personen!","minimaal 6 personen!",R7)</f>
        <v/>
      </c>
      <c r="O7" s="1182"/>
      <c r="P7" s="412"/>
      <c r="Q7" s="129" t="str">
        <f>IF(AND($J7&gt;0,$J7&lt;6),"minimaal 6 personen!",$R7)</f>
        <v/>
      </c>
      <c r="R7" s="127" t="str">
        <f>IF($J7="","",$J7*$L7)</f>
        <v/>
      </c>
      <c r="S7" s="129"/>
      <c r="T7" s="129"/>
      <c r="U7" s="129"/>
      <c r="V7" s="191"/>
      <c r="W7" s="191"/>
      <c r="X7" s="191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409"/>
      <c r="DH7" s="409"/>
      <c r="DI7" s="409"/>
      <c r="DJ7" s="409"/>
      <c r="DK7" s="409"/>
      <c r="DL7" s="409"/>
      <c r="DM7" s="409"/>
      <c r="DN7" s="409"/>
      <c r="DO7" s="409"/>
      <c r="DP7" s="409"/>
      <c r="DQ7" s="409"/>
      <c r="DR7" s="409"/>
      <c r="DS7" s="409"/>
      <c r="DT7" s="409"/>
      <c r="DU7" s="409"/>
      <c r="DV7" s="409"/>
      <c r="DW7" s="409"/>
      <c r="DX7" s="409"/>
      <c r="DY7" s="409"/>
      <c r="DZ7" s="409"/>
      <c r="EA7" s="409"/>
      <c r="EB7" s="409"/>
      <c r="EC7" s="409"/>
      <c r="ED7" s="409"/>
    </row>
    <row r="8" spans="1:134" ht="20.05" customHeight="1">
      <c r="A8" s="61"/>
      <c r="B8" s="1220" t="s">
        <v>10</v>
      </c>
      <c r="C8" s="954"/>
      <c r="D8" s="954"/>
      <c r="E8" s="954"/>
      <c r="F8" s="954"/>
      <c r="G8" s="954"/>
      <c r="H8" s="955"/>
      <c r="I8" s="670" t="s">
        <v>33</v>
      </c>
      <c r="J8" s="177"/>
      <c r="K8" s="170" t="s">
        <v>8</v>
      </c>
      <c r="L8" s="652">
        <f>PRIJZEN!C8</f>
        <v>11.95</v>
      </c>
      <c r="M8" s="171" t="s">
        <v>9</v>
      </c>
      <c r="N8" s="1232" t="str">
        <f>IF(Q8="Minimaal 6 personen!","minimaal 6 personen!",R8)</f>
        <v/>
      </c>
      <c r="O8" s="983"/>
      <c r="P8" s="412"/>
      <c r="Q8" s="129" t="str">
        <f>IF(AND($J8&gt;0,$J8&lt;6),"minimaal 6 personen!",$R8)</f>
        <v/>
      </c>
      <c r="R8" s="127" t="str">
        <f>IF($J8="","",$J8*$L8)</f>
        <v/>
      </c>
      <c r="S8" s="129"/>
      <c r="T8" s="129"/>
      <c r="U8" s="129"/>
      <c r="V8" s="191"/>
      <c r="W8" s="192"/>
      <c r="X8" s="192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409"/>
      <c r="DH8" s="409"/>
      <c r="DI8" s="409"/>
      <c r="DJ8" s="409"/>
      <c r="DK8" s="409"/>
      <c r="DL8" s="409"/>
      <c r="DM8" s="409"/>
      <c r="DN8" s="409"/>
      <c r="DO8" s="409"/>
      <c r="DP8" s="409"/>
      <c r="DQ8" s="409"/>
      <c r="DR8" s="409"/>
      <c r="DS8" s="409"/>
      <c r="DT8" s="409"/>
      <c r="DU8" s="409"/>
      <c r="DV8" s="409"/>
      <c r="DW8" s="409"/>
      <c r="DX8" s="409"/>
      <c r="DY8" s="409"/>
      <c r="DZ8" s="409"/>
      <c r="EA8" s="409"/>
      <c r="EB8" s="409"/>
      <c r="EC8" s="409"/>
      <c r="ED8" s="409"/>
    </row>
    <row r="9" spans="1:134" ht="20.05" customHeight="1">
      <c r="A9" s="61"/>
      <c r="B9" s="1220" t="s">
        <v>11</v>
      </c>
      <c r="C9" s="954"/>
      <c r="D9" s="954"/>
      <c r="E9" s="954"/>
      <c r="F9" s="954"/>
      <c r="G9" s="954"/>
      <c r="H9" s="955"/>
      <c r="I9" s="662" t="s">
        <v>33</v>
      </c>
      <c r="J9" s="177"/>
      <c r="K9" s="170" t="s">
        <v>8</v>
      </c>
      <c r="L9" s="652">
        <f>PRIJZEN!C9</f>
        <v>5.25</v>
      </c>
      <c r="M9" s="171" t="s">
        <v>9</v>
      </c>
      <c r="N9" s="1185" t="str">
        <f>IF(Q9="Minimaal 6 personen!","minimaal 6 personen!",R9)</f>
        <v/>
      </c>
      <c r="O9" s="991"/>
      <c r="P9" s="412"/>
      <c r="Q9" s="129" t="str">
        <f>IF(AND($J9&gt;0,$J9&lt;6),"minimaal 6 personen!",$R9)</f>
        <v/>
      </c>
      <c r="R9" s="127" t="str">
        <f>IF($J9="","",$J9*$L9)</f>
        <v/>
      </c>
      <c r="S9" s="129"/>
      <c r="T9" s="129"/>
      <c r="U9" s="129"/>
      <c r="V9" s="191"/>
      <c r="W9" s="193"/>
      <c r="X9" s="193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409"/>
      <c r="DH9" s="409"/>
      <c r="DI9" s="409"/>
      <c r="DJ9" s="409"/>
      <c r="DK9" s="409"/>
      <c r="DL9" s="409"/>
      <c r="DM9" s="409"/>
      <c r="DN9" s="409"/>
      <c r="DO9" s="409"/>
      <c r="DP9" s="409"/>
      <c r="DQ9" s="409"/>
      <c r="DR9" s="409"/>
      <c r="DS9" s="409"/>
      <c r="DT9" s="409"/>
      <c r="DU9" s="409"/>
      <c r="DV9" s="409"/>
      <c r="DW9" s="409"/>
      <c r="DX9" s="409"/>
      <c r="DY9" s="409"/>
      <c r="DZ9" s="409"/>
      <c r="EA9" s="409"/>
      <c r="EB9" s="409"/>
      <c r="EC9" s="409"/>
      <c r="ED9" s="409"/>
    </row>
    <row r="10" spans="1:134" ht="20.05" customHeight="1">
      <c r="A10" s="61"/>
      <c r="B10" s="1220" t="s">
        <v>677</v>
      </c>
      <c r="C10" s="954"/>
      <c r="D10" s="954"/>
      <c r="E10" s="954"/>
      <c r="F10" s="954"/>
      <c r="G10" s="954"/>
      <c r="H10" s="955"/>
      <c r="I10" s="662" t="s">
        <v>33</v>
      </c>
      <c r="J10" s="562"/>
      <c r="K10" s="170" t="s">
        <v>8</v>
      </c>
      <c r="L10" s="652">
        <f>PRIJZEN!C10</f>
        <v>5.25</v>
      </c>
      <c r="M10" s="171" t="s">
        <v>9</v>
      </c>
      <c r="N10" s="1185" t="str">
        <f>IF(Q10="Minimaal 6 personen!","minimaal 6 personen!",R10)</f>
        <v/>
      </c>
      <c r="O10" s="991"/>
      <c r="P10" s="412"/>
      <c r="Q10" s="129" t="str">
        <f>IF(AND($J10&gt;0,$J10&lt;6),"minimaal 6 personen!",$R10)</f>
        <v/>
      </c>
      <c r="R10" s="127" t="str">
        <f>IF($J10="","",$J10*$L10)</f>
        <v/>
      </c>
      <c r="S10" s="129"/>
      <c r="T10" s="129"/>
      <c r="U10" s="129"/>
      <c r="V10" s="191"/>
      <c r="W10" s="193"/>
      <c r="X10" s="193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409"/>
      <c r="DH10" s="409"/>
      <c r="DI10" s="409"/>
      <c r="DJ10" s="409"/>
      <c r="DK10" s="409"/>
      <c r="DL10" s="409"/>
      <c r="DM10" s="409"/>
      <c r="DN10" s="409"/>
      <c r="DO10" s="409"/>
      <c r="DP10" s="409"/>
      <c r="DQ10" s="409"/>
      <c r="DR10" s="409"/>
      <c r="DS10" s="409"/>
      <c r="DT10" s="409"/>
      <c r="DU10" s="409"/>
      <c r="DV10" s="409"/>
      <c r="DW10" s="409"/>
      <c r="DX10" s="409"/>
      <c r="DY10" s="409"/>
      <c r="DZ10" s="409"/>
      <c r="EA10" s="409"/>
      <c r="EB10" s="409"/>
      <c r="EC10" s="409"/>
      <c r="ED10" s="409"/>
    </row>
    <row r="11" spans="1:134" ht="21.9" customHeight="1">
      <c r="A11" s="61"/>
      <c r="B11" s="1163" t="s">
        <v>627</v>
      </c>
      <c r="C11" s="1163"/>
      <c r="D11" s="1163"/>
      <c r="E11" s="1163"/>
      <c r="F11" s="1163"/>
      <c r="G11" s="1163"/>
      <c r="H11" s="1163"/>
      <c r="I11" s="1163"/>
      <c r="J11" s="1163"/>
      <c r="K11" s="1163"/>
      <c r="L11" s="1163"/>
      <c r="M11" s="1163"/>
      <c r="N11" s="1163"/>
      <c r="O11" s="1224"/>
      <c r="P11" s="412"/>
      <c r="Q11" s="129"/>
      <c r="R11" s="127"/>
      <c r="S11" s="129"/>
      <c r="T11" s="129"/>
      <c r="U11" s="129"/>
      <c r="V11" s="191"/>
      <c r="W11" s="193"/>
      <c r="X11" s="193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409"/>
      <c r="DH11" s="409"/>
      <c r="DI11" s="409"/>
      <c r="DJ11" s="409"/>
      <c r="DK11" s="409"/>
      <c r="DL11" s="409"/>
      <c r="DM11" s="409"/>
      <c r="DN11" s="409"/>
      <c r="DO11" s="409"/>
      <c r="DP11" s="409"/>
      <c r="DQ11" s="409"/>
      <c r="DR11" s="409"/>
      <c r="DS11" s="409"/>
      <c r="DT11" s="409"/>
      <c r="DU11" s="409"/>
      <c r="DV11" s="409"/>
      <c r="DW11" s="409"/>
      <c r="DX11" s="409"/>
      <c r="DY11" s="409"/>
      <c r="DZ11" s="409"/>
      <c r="EA11" s="409"/>
      <c r="EB11" s="409"/>
      <c r="EC11" s="409"/>
      <c r="ED11" s="409"/>
    </row>
    <row r="12" spans="1:134">
      <c r="A12" s="63"/>
      <c r="B12" s="97"/>
      <c r="C12" s="97"/>
      <c r="D12" s="117"/>
      <c r="E12" s="117"/>
      <c r="F12" s="716"/>
      <c r="G12" s="1225" t="s">
        <v>628</v>
      </c>
      <c r="H12" s="1226"/>
      <c r="I12" s="1226"/>
      <c r="J12" s="1226"/>
      <c r="K12" s="1226"/>
      <c r="L12" s="1226"/>
      <c r="M12" s="1226"/>
      <c r="N12" s="1226"/>
      <c r="O12" s="1227"/>
      <c r="P12" s="117"/>
      <c r="Q12" s="577"/>
      <c r="R12" s="126"/>
      <c r="S12" s="126"/>
      <c r="T12" s="126"/>
      <c r="U12" s="126"/>
      <c r="V12" s="193"/>
      <c r="W12" s="193"/>
      <c r="X12" s="193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409"/>
      <c r="DH12" s="409"/>
      <c r="DI12" s="409"/>
      <c r="DJ12" s="409"/>
      <c r="DK12" s="409"/>
      <c r="DL12" s="409"/>
      <c r="DM12" s="409"/>
      <c r="DN12" s="409"/>
      <c r="DO12" s="409"/>
      <c r="DP12" s="409"/>
      <c r="DQ12" s="409"/>
      <c r="DR12" s="409"/>
      <c r="DS12" s="409"/>
      <c r="DT12" s="409"/>
      <c r="DU12" s="409"/>
      <c r="DV12" s="409"/>
      <c r="DW12" s="409"/>
      <c r="DX12" s="409"/>
      <c r="DY12" s="409"/>
      <c r="DZ12" s="409"/>
      <c r="EA12" s="409"/>
      <c r="EB12" s="409"/>
      <c r="EC12" s="409"/>
      <c r="ED12" s="409"/>
    </row>
    <row r="13" spans="1:134" ht="23.05">
      <c r="A13" s="63"/>
      <c r="B13" s="97"/>
      <c r="C13" s="97"/>
      <c r="D13" s="97"/>
      <c r="E13" s="97"/>
      <c r="F13" s="182"/>
      <c r="G13" s="97"/>
      <c r="H13" s="97"/>
      <c r="I13" s="324"/>
      <c r="J13" s="324" t="s">
        <v>12</v>
      </c>
      <c r="K13" s="324"/>
      <c r="L13" s="1025" t="str">
        <f>IF(SUM(Q15:Q32)&gt;0,"Vul kruisje in. Géén cijfer!","")</f>
        <v/>
      </c>
      <c r="M13" s="1025"/>
      <c r="N13" s="1025"/>
      <c r="O13" s="1026"/>
      <c r="P13" s="420"/>
      <c r="Q13" s="577"/>
      <c r="R13" s="126"/>
      <c r="S13" s="126"/>
      <c r="T13" s="126"/>
      <c r="U13" s="126"/>
      <c r="V13" s="193"/>
      <c r="W13" s="193"/>
      <c r="X13" s="193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409"/>
      <c r="DH13" s="409"/>
      <c r="DI13" s="409"/>
      <c r="DJ13" s="409"/>
      <c r="DK13" s="409"/>
      <c r="DL13" s="409"/>
      <c r="DM13" s="409"/>
      <c r="DN13" s="409"/>
      <c r="DO13" s="409"/>
      <c r="DP13" s="409"/>
      <c r="DQ13" s="409"/>
      <c r="DR13" s="409"/>
      <c r="DS13" s="409"/>
      <c r="DT13" s="409"/>
      <c r="DU13" s="409"/>
      <c r="DV13" s="409"/>
      <c r="DW13" s="409"/>
      <c r="DX13" s="409"/>
      <c r="DY13" s="409"/>
      <c r="DZ13" s="409"/>
      <c r="EA13" s="409"/>
      <c r="EB13" s="409"/>
      <c r="EC13" s="409"/>
      <c r="ED13" s="409"/>
    </row>
    <row r="14" spans="1:134" ht="23.05">
      <c r="A14" s="63"/>
      <c r="B14" s="55"/>
      <c r="C14" s="55"/>
      <c r="D14" s="55"/>
      <c r="E14" s="55"/>
      <c r="F14" s="183"/>
      <c r="G14" s="181"/>
      <c r="H14" s="181"/>
      <c r="I14" s="627"/>
      <c r="J14" s="627"/>
      <c r="K14" s="627"/>
      <c r="L14" s="1032"/>
      <c r="M14" s="1032"/>
      <c r="N14" s="1032"/>
      <c r="O14" s="1033"/>
      <c r="P14" s="420"/>
      <c r="Q14" s="577"/>
      <c r="R14" s="126"/>
      <c r="S14" s="126"/>
      <c r="T14" s="126"/>
      <c r="U14" s="126"/>
      <c r="V14" s="193"/>
      <c r="W14" s="193"/>
      <c r="X14" s="193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409"/>
      <c r="DH14" s="409"/>
      <c r="DI14" s="409"/>
      <c r="DJ14" s="409"/>
      <c r="DK14" s="409"/>
      <c r="DL14" s="409"/>
      <c r="DM14" s="409"/>
      <c r="DN14" s="409"/>
      <c r="DO14" s="409"/>
      <c r="DP14" s="409"/>
      <c r="DQ14" s="409"/>
      <c r="DR14" s="409"/>
      <c r="DS14" s="409"/>
      <c r="DT14" s="409"/>
      <c r="DU14" s="409"/>
      <c r="DV14" s="409"/>
      <c r="DW14" s="409"/>
      <c r="DX14" s="409"/>
      <c r="DY14" s="409"/>
      <c r="DZ14" s="409"/>
      <c r="EA14" s="409"/>
      <c r="EB14" s="409"/>
      <c r="EC14" s="409"/>
      <c r="ED14" s="409"/>
    </row>
    <row r="15" spans="1:134" ht="18" customHeight="1">
      <c r="A15" s="63"/>
      <c r="B15" s="56">
        <f>IF(OR($N$7="minimaal 6 personen!",$N$8="minimaal 6 personen!",$N$9="minimaal 6 personen!",N10="minimaal 6 personen!"),"",SUM($J$7:$J$10)*$C15)</f>
        <v>0</v>
      </c>
      <c r="C15" s="57">
        <f>SUM(PRIJZEN!C12/1000*50)</f>
        <v>0.72500000000000009</v>
      </c>
      <c r="D15" s="563"/>
      <c r="E15" s="564"/>
      <c r="F15" s="565"/>
      <c r="G15" s="1036" t="s">
        <v>13</v>
      </c>
      <c r="H15" s="1037"/>
      <c r="I15" s="1235"/>
      <c r="J15" s="122"/>
      <c r="K15" s="178" t="s">
        <v>9</v>
      </c>
      <c r="L15" s="653" t="str">
        <f>IF(AND($J15="x",$B15&lt;&gt;""),SUM($J$7:$J$10)*50,"")</f>
        <v/>
      </c>
      <c r="M15" s="118" t="s">
        <v>106</v>
      </c>
      <c r="N15" s="1221" t="str">
        <f>IF(AND($L15&gt;0,$J15="x"),$B15,"")</f>
        <v/>
      </c>
      <c r="O15" s="1222"/>
      <c r="P15" s="412"/>
      <c r="Q15" s="129">
        <f>IF(AND($J15&lt;&gt;"",$J15&lt;&gt;"x"),1,0)</f>
        <v>0</v>
      </c>
      <c r="R15" s="127"/>
      <c r="S15" s="126"/>
      <c r="T15" s="126"/>
      <c r="U15" s="126"/>
      <c r="V15" s="193"/>
      <c r="W15" s="193"/>
      <c r="X15" s="193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409"/>
      <c r="DH15" s="409"/>
      <c r="DI15" s="409"/>
      <c r="DJ15" s="409"/>
      <c r="DK15" s="409"/>
      <c r="DL15" s="409"/>
      <c r="DM15" s="409"/>
      <c r="DN15" s="409"/>
      <c r="DO15" s="409"/>
      <c r="DP15" s="409"/>
      <c r="DQ15" s="409"/>
      <c r="DR15" s="409"/>
      <c r="DS15" s="409"/>
      <c r="DT15" s="409"/>
      <c r="DU15" s="409"/>
      <c r="DV15" s="409"/>
      <c r="DW15" s="409"/>
      <c r="DX15" s="409"/>
      <c r="DY15" s="409"/>
      <c r="DZ15" s="409"/>
      <c r="EA15" s="409"/>
      <c r="EB15" s="409"/>
      <c r="EC15" s="409"/>
      <c r="ED15" s="409"/>
    </row>
    <row r="16" spans="1:134" ht="18" customHeight="1">
      <c r="A16" s="63"/>
      <c r="B16" s="56">
        <f t="shared" ref="B16:B32" si="0">IF(OR($N$7="minimaal 6 personen!",$N$8="minimaal 6 personen!",$N$9="minimaal 6 personen!",N11="minimaal 6 personen!"),"",SUM($J$7:$J$10)*$C16)</f>
        <v>0</v>
      </c>
      <c r="C16" s="57">
        <f>SUM(PRIJZEN!C13/1000*50)</f>
        <v>0.77500000000000002</v>
      </c>
      <c r="D16" s="563"/>
      <c r="E16" s="564"/>
      <c r="F16" s="565"/>
      <c r="G16" s="1038" t="s">
        <v>14</v>
      </c>
      <c r="H16" s="1039"/>
      <c r="I16" s="1236"/>
      <c r="J16" s="122"/>
      <c r="K16" s="179" t="s">
        <v>9</v>
      </c>
      <c r="L16" s="654" t="str">
        <f>IF(AND($J16="x",$B16&lt;&gt;""),SUM($J$7:$J$10)*50,"")</f>
        <v/>
      </c>
      <c r="M16" s="119" t="s">
        <v>106</v>
      </c>
      <c r="N16" s="1223" t="str">
        <f t="shared" ref="N16:N32" si="1">IF(AND($L16&gt;0,$J16="x"),$B16,"")</f>
        <v/>
      </c>
      <c r="O16" s="993"/>
      <c r="P16" s="412"/>
      <c r="Q16" s="129">
        <f t="shared" ref="Q16:Q32" si="2">IF(AND($J16&lt;&gt;"",$J16&lt;&gt;"x"),1,0)</f>
        <v>0</v>
      </c>
      <c r="R16" s="127"/>
      <c r="S16" s="126"/>
      <c r="T16" s="126"/>
      <c r="U16" s="126"/>
      <c r="V16" s="193"/>
      <c r="W16" s="193"/>
      <c r="X16" s="193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409"/>
      <c r="DH16" s="409"/>
      <c r="DI16" s="409"/>
      <c r="DJ16" s="409"/>
      <c r="DK16" s="409"/>
      <c r="DL16" s="409"/>
      <c r="DM16" s="409"/>
      <c r="DN16" s="409"/>
      <c r="DO16" s="409"/>
      <c r="DP16" s="409"/>
      <c r="DQ16" s="409"/>
      <c r="DR16" s="409"/>
      <c r="DS16" s="409"/>
      <c r="DT16" s="409"/>
      <c r="DU16" s="409"/>
      <c r="DV16" s="409"/>
      <c r="DW16" s="409"/>
      <c r="DX16" s="409"/>
      <c r="DY16" s="409"/>
      <c r="DZ16" s="409"/>
      <c r="EA16" s="409"/>
      <c r="EB16" s="409"/>
      <c r="EC16" s="409"/>
      <c r="ED16" s="409"/>
    </row>
    <row r="17" spans="1:134" ht="18" customHeight="1">
      <c r="A17" s="63"/>
      <c r="B17" s="56">
        <f t="shared" si="0"/>
        <v>0</v>
      </c>
      <c r="C17" s="57">
        <f>SUM(PRIJZEN!C14/1000*50)</f>
        <v>0.72500000000000009</v>
      </c>
      <c r="D17" s="563"/>
      <c r="E17" s="564"/>
      <c r="F17" s="565"/>
      <c r="G17" s="1038" t="s">
        <v>15</v>
      </c>
      <c r="H17" s="1039"/>
      <c r="I17" s="1236"/>
      <c r="J17" s="122"/>
      <c r="K17" s="179" t="s">
        <v>9</v>
      </c>
      <c r="L17" s="655" t="str">
        <f>IF(AND($J17="x",$B17&lt;&gt;""),SUM($J$7:$J$10)*50,"")</f>
        <v/>
      </c>
      <c r="M17" s="120" t="s">
        <v>106</v>
      </c>
      <c r="N17" s="1185" t="str">
        <f t="shared" si="1"/>
        <v/>
      </c>
      <c r="O17" s="991"/>
      <c r="P17" s="412"/>
      <c r="Q17" s="129">
        <f t="shared" si="2"/>
        <v>0</v>
      </c>
      <c r="R17" s="127"/>
      <c r="S17" s="126"/>
      <c r="T17" s="126"/>
      <c r="U17" s="126"/>
      <c r="V17" s="193"/>
      <c r="W17" s="193"/>
      <c r="X17" s="193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409"/>
      <c r="DH17" s="409"/>
      <c r="DI17" s="409"/>
      <c r="DJ17" s="409"/>
      <c r="DK17" s="409"/>
      <c r="DL17" s="409"/>
      <c r="DM17" s="409"/>
      <c r="DN17" s="409"/>
      <c r="DO17" s="409"/>
      <c r="DP17" s="409"/>
      <c r="DQ17" s="409"/>
      <c r="DR17" s="409"/>
      <c r="DS17" s="409"/>
      <c r="DT17" s="409"/>
      <c r="DU17" s="409"/>
      <c r="DV17" s="409"/>
      <c r="DW17" s="409"/>
      <c r="DX17" s="409"/>
      <c r="DY17" s="409"/>
      <c r="DZ17" s="409"/>
      <c r="EA17" s="409"/>
      <c r="EB17" s="409"/>
      <c r="EC17" s="409"/>
      <c r="ED17" s="409"/>
    </row>
    <row r="18" spans="1:134" ht="18" customHeight="1">
      <c r="A18" s="63"/>
      <c r="B18" s="56">
        <f t="shared" si="0"/>
        <v>0</v>
      </c>
      <c r="C18" s="57">
        <f>SUM(PRIJZEN!C15/1000*30)</f>
        <v>0.435</v>
      </c>
      <c r="D18" s="563"/>
      <c r="E18" s="564"/>
      <c r="F18" s="566"/>
      <c r="G18" s="1038" t="s">
        <v>16</v>
      </c>
      <c r="H18" s="1039"/>
      <c r="I18" s="1236"/>
      <c r="J18" s="122"/>
      <c r="K18" s="179" t="s">
        <v>9</v>
      </c>
      <c r="L18" s="655" t="str">
        <f>IF(AND($J18="x",$B18&lt;&gt;""),SUM($J$7:$J$10)*30,"")</f>
        <v/>
      </c>
      <c r="M18" s="121" t="s">
        <v>106</v>
      </c>
      <c r="N18" s="1185" t="str">
        <f t="shared" si="1"/>
        <v/>
      </c>
      <c r="O18" s="991"/>
      <c r="P18" s="412"/>
      <c r="Q18" s="129">
        <f t="shared" si="2"/>
        <v>0</v>
      </c>
      <c r="R18" s="127"/>
      <c r="S18" s="126"/>
      <c r="T18" s="126"/>
      <c r="U18" s="126"/>
      <c r="V18" s="193"/>
      <c r="W18" s="193"/>
      <c r="X18" s="193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409"/>
      <c r="DH18" s="409"/>
      <c r="DI18" s="409"/>
      <c r="DJ18" s="409"/>
      <c r="DK18" s="409"/>
      <c r="DL18" s="409"/>
      <c r="DM18" s="409"/>
      <c r="DN18" s="409"/>
      <c r="DO18" s="409"/>
      <c r="DP18" s="409"/>
      <c r="DQ18" s="409"/>
      <c r="DR18" s="409"/>
      <c r="DS18" s="409"/>
      <c r="DT18" s="409"/>
      <c r="DU18" s="409"/>
      <c r="DV18" s="409"/>
      <c r="DW18" s="409"/>
      <c r="DX18" s="409"/>
      <c r="DY18" s="409"/>
      <c r="DZ18" s="409"/>
      <c r="EA18" s="409"/>
      <c r="EB18" s="409"/>
      <c r="EC18" s="409"/>
      <c r="ED18" s="409"/>
    </row>
    <row r="19" spans="1:134" ht="18" customHeight="1">
      <c r="A19" s="63"/>
      <c r="B19" s="56">
        <f t="shared" si="0"/>
        <v>0</v>
      </c>
      <c r="C19" s="57">
        <f>SUM(PRIJZEN!C16/1000*50)</f>
        <v>0.72500000000000009</v>
      </c>
      <c r="D19" s="563"/>
      <c r="E19" s="564"/>
      <c r="F19" s="565"/>
      <c r="G19" s="1038" t="s">
        <v>678</v>
      </c>
      <c r="H19" s="1039"/>
      <c r="I19" s="1236"/>
      <c r="J19" s="122"/>
      <c r="K19" s="179" t="s">
        <v>9</v>
      </c>
      <c r="L19" s="654" t="str">
        <f>IF(AND($J19="x",$B19&lt;&gt;""),SUM($J$7:$J$10)*50,"")</f>
        <v/>
      </c>
      <c r="M19" s="121" t="s">
        <v>106</v>
      </c>
      <c r="N19" s="1232" t="str">
        <f t="shared" si="1"/>
        <v/>
      </c>
      <c r="O19" s="983"/>
      <c r="P19" s="412"/>
      <c r="Q19" s="129">
        <f t="shared" si="2"/>
        <v>0</v>
      </c>
      <c r="R19" s="127"/>
      <c r="S19" s="126"/>
      <c r="T19" s="126"/>
      <c r="U19" s="126"/>
      <c r="V19" s="193"/>
      <c r="W19" s="193"/>
      <c r="X19" s="193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409"/>
      <c r="DH19" s="409"/>
      <c r="DI19" s="409"/>
      <c r="DJ19" s="409"/>
      <c r="DK19" s="409"/>
      <c r="DL19" s="409"/>
      <c r="DM19" s="409"/>
      <c r="DN19" s="409"/>
      <c r="DO19" s="409"/>
      <c r="DP19" s="409"/>
      <c r="DQ19" s="409"/>
      <c r="DR19" s="409"/>
      <c r="DS19" s="409"/>
      <c r="DT19" s="409"/>
      <c r="DU19" s="409"/>
      <c r="DV19" s="409"/>
      <c r="DW19" s="409"/>
      <c r="DX19" s="409"/>
      <c r="DY19" s="409"/>
      <c r="DZ19" s="409"/>
      <c r="EA19" s="409"/>
      <c r="EB19" s="409"/>
      <c r="EC19" s="409"/>
      <c r="ED19" s="409"/>
    </row>
    <row r="20" spans="1:134" ht="18" customHeight="1">
      <c r="A20" s="63"/>
      <c r="B20" s="56">
        <f t="shared" si="0"/>
        <v>0</v>
      </c>
      <c r="C20" s="57">
        <f>SUM(PRIJZEN!C17/1000*50)</f>
        <v>0.92499999999999993</v>
      </c>
      <c r="D20" s="563"/>
      <c r="E20" s="564"/>
      <c r="F20" s="565"/>
      <c r="G20" s="1038" t="s">
        <v>679</v>
      </c>
      <c r="H20" s="1039"/>
      <c r="I20" s="1236"/>
      <c r="J20" s="122"/>
      <c r="K20" s="179" t="s">
        <v>9</v>
      </c>
      <c r="L20" s="655" t="str">
        <f>IF(AND($J20="x",$B20&lt;&gt;""),SUM($J$7:$J$10)*50,"")</f>
        <v/>
      </c>
      <c r="M20" s="119" t="s">
        <v>106</v>
      </c>
      <c r="N20" s="1223" t="str">
        <f t="shared" si="1"/>
        <v/>
      </c>
      <c r="O20" s="993"/>
      <c r="P20" s="412"/>
      <c r="Q20" s="129">
        <f t="shared" si="2"/>
        <v>0</v>
      </c>
      <c r="R20" s="127"/>
      <c r="S20" s="126"/>
      <c r="T20" s="126"/>
      <c r="U20" s="126"/>
      <c r="V20" s="193"/>
      <c r="W20" s="193"/>
      <c r="X20" s="193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409"/>
      <c r="DH20" s="409"/>
      <c r="DI20" s="409"/>
      <c r="DJ20" s="409"/>
      <c r="DK20" s="409"/>
      <c r="DL20" s="409"/>
      <c r="DM20" s="409"/>
      <c r="DN20" s="409"/>
      <c r="DO20" s="409"/>
      <c r="DP20" s="409"/>
      <c r="DQ20" s="409"/>
      <c r="DR20" s="409"/>
      <c r="DS20" s="409"/>
      <c r="DT20" s="409"/>
      <c r="DU20" s="409"/>
      <c r="DV20" s="409"/>
      <c r="DW20" s="409"/>
      <c r="DX20" s="409"/>
      <c r="DY20" s="409"/>
      <c r="DZ20" s="409"/>
      <c r="EA20" s="409"/>
      <c r="EB20" s="409"/>
      <c r="EC20" s="409"/>
      <c r="ED20" s="409"/>
    </row>
    <row r="21" spans="1:134" ht="18" customHeight="1">
      <c r="A21" s="329"/>
      <c r="B21" s="56">
        <f t="shared" si="0"/>
        <v>0</v>
      </c>
      <c r="C21" s="57">
        <f>SUM(PRIJZEN!C18/1000*40)</f>
        <v>0.58000000000000007</v>
      </c>
      <c r="D21" s="563"/>
      <c r="E21" s="564"/>
      <c r="F21" s="565"/>
      <c r="G21" s="1038" t="s">
        <v>17</v>
      </c>
      <c r="H21" s="1039"/>
      <c r="I21" s="1236"/>
      <c r="J21" s="122"/>
      <c r="K21" s="179" t="s">
        <v>9</v>
      </c>
      <c r="L21" s="655" t="str">
        <f>IF(AND($J21="x",$B21&lt;&gt;""),SUM($J$7:$J$10)*40,"")</f>
        <v/>
      </c>
      <c r="M21" s="120" t="s">
        <v>106</v>
      </c>
      <c r="N21" s="1223" t="str">
        <f t="shared" si="1"/>
        <v/>
      </c>
      <c r="O21" s="993"/>
      <c r="P21" s="412"/>
      <c r="Q21" s="129">
        <f t="shared" si="2"/>
        <v>0</v>
      </c>
      <c r="R21" s="127"/>
      <c r="S21" s="126"/>
      <c r="T21" s="126"/>
      <c r="U21" s="126"/>
      <c r="V21" s="193"/>
      <c r="W21" s="193"/>
      <c r="X21" s="193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409"/>
      <c r="DH21" s="409"/>
      <c r="DI21" s="409"/>
      <c r="DJ21" s="409"/>
      <c r="DK21" s="409"/>
      <c r="DL21" s="409"/>
      <c r="DM21" s="409"/>
      <c r="DN21" s="409"/>
      <c r="DO21" s="409"/>
      <c r="DP21" s="409"/>
      <c r="DQ21" s="409"/>
      <c r="DR21" s="409"/>
      <c r="DS21" s="409"/>
      <c r="DT21" s="409"/>
      <c r="DU21" s="409"/>
      <c r="DV21" s="409"/>
      <c r="DW21" s="409"/>
      <c r="DX21" s="409"/>
      <c r="DY21" s="409"/>
      <c r="DZ21" s="409"/>
      <c r="EA21" s="409"/>
      <c r="EB21" s="409"/>
      <c r="EC21" s="409"/>
      <c r="ED21" s="409"/>
    </row>
    <row r="22" spans="1:134" ht="18" customHeight="1">
      <c r="A22" s="63"/>
      <c r="B22" s="56">
        <f t="shared" si="0"/>
        <v>0</v>
      </c>
      <c r="C22" s="57">
        <f>SUM(PRIJZEN!C19/1000*40)</f>
        <v>0.58000000000000007</v>
      </c>
      <c r="D22" s="563"/>
      <c r="E22" s="564"/>
      <c r="F22" s="565"/>
      <c r="G22" s="1038" t="s">
        <v>18</v>
      </c>
      <c r="H22" s="1039"/>
      <c r="I22" s="1236"/>
      <c r="J22" s="122"/>
      <c r="K22" s="179" t="s">
        <v>9</v>
      </c>
      <c r="L22" s="655" t="str">
        <f>IF(AND($J22="x",$B22&lt;&gt;""),SUM($J$7:$J$10)*40,"")</f>
        <v/>
      </c>
      <c r="M22" s="120" t="s">
        <v>106</v>
      </c>
      <c r="N22" s="1185" t="str">
        <f t="shared" si="1"/>
        <v/>
      </c>
      <c r="O22" s="991"/>
      <c r="P22" s="412"/>
      <c r="Q22" s="129">
        <f t="shared" si="2"/>
        <v>0</v>
      </c>
      <c r="R22" s="127"/>
      <c r="S22" s="126"/>
      <c r="T22" s="126"/>
      <c r="U22" s="126"/>
      <c r="V22" s="193"/>
      <c r="W22" s="193"/>
      <c r="X22" s="193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409"/>
      <c r="DH22" s="409"/>
      <c r="DI22" s="409"/>
      <c r="DJ22" s="409"/>
      <c r="DK22" s="409"/>
      <c r="DL22" s="409"/>
      <c r="DM22" s="409"/>
      <c r="DN22" s="409"/>
      <c r="DO22" s="409"/>
      <c r="DP22" s="409"/>
      <c r="DQ22" s="409"/>
      <c r="DR22" s="409"/>
      <c r="DS22" s="409"/>
      <c r="DT22" s="409"/>
      <c r="DU22" s="409"/>
      <c r="DV22" s="409"/>
      <c r="DW22" s="409"/>
      <c r="DX22" s="409"/>
      <c r="DY22" s="409"/>
      <c r="DZ22" s="409"/>
      <c r="EA22" s="409"/>
      <c r="EB22" s="409"/>
      <c r="EC22" s="409"/>
      <c r="ED22" s="409"/>
    </row>
    <row r="23" spans="1:134" ht="18" customHeight="1">
      <c r="A23" s="63"/>
      <c r="B23" s="56">
        <f t="shared" si="0"/>
        <v>0</v>
      </c>
      <c r="C23" s="57">
        <f>SUM(PRIJZEN!C20/1000*40)</f>
        <v>0.58000000000000007</v>
      </c>
      <c r="D23" s="563"/>
      <c r="E23" s="564"/>
      <c r="F23" s="565"/>
      <c r="G23" s="1038" t="s">
        <v>19</v>
      </c>
      <c r="H23" s="1039"/>
      <c r="I23" s="1236"/>
      <c r="J23" s="122"/>
      <c r="K23" s="179" t="s">
        <v>9</v>
      </c>
      <c r="L23" s="654" t="str">
        <f>IF(AND($J23="x",$B23&lt;&gt;""),SUM($J$7:$J$10)*40,"")</f>
        <v/>
      </c>
      <c r="M23" s="121" t="s">
        <v>106</v>
      </c>
      <c r="N23" s="1185" t="str">
        <f t="shared" si="1"/>
        <v/>
      </c>
      <c r="O23" s="991"/>
      <c r="P23" s="412"/>
      <c r="Q23" s="129">
        <f t="shared" si="2"/>
        <v>0</v>
      </c>
      <c r="R23" s="127"/>
      <c r="S23" s="126"/>
      <c r="T23" s="126"/>
      <c r="U23" s="126"/>
      <c r="V23" s="193"/>
      <c r="W23" s="193"/>
      <c r="X23" s="193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409"/>
      <c r="DH23" s="409"/>
      <c r="DI23" s="409"/>
      <c r="DJ23" s="409"/>
      <c r="DK23" s="409"/>
      <c r="DL23" s="409"/>
      <c r="DM23" s="409"/>
      <c r="DN23" s="409"/>
      <c r="DO23" s="409"/>
      <c r="DP23" s="409"/>
      <c r="DQ23" s="409"/>
      <c r="DR23" s="409"/>
      <c r="DS23" s="409"/>
      <c r="DT23" s="409"/>
      <c r="DU23" s="409"/>
      <c r="DV23" s="409"/>
      <c r="DW23" s="409"/>
      <c r="DX23" s="409"/>
      <c r="DY23" s="409"/>
      <c r="DZ23" s="409"/>
      <c r="EA23" s="409"/>
      <c r="EB23" s="409"/>
      <c r="EC23" s="409"/>
      <c r="ED23" s="409"/>
    </row>
    <row r="24" spans="1:134" ht="18" customHeight="1">
      <c r="A24" s="63"/>
      <c r="B24" s="56">
        <f t="shared" si="0"/>
        <v>0</v>
      </c>
      <c r="C24" s="57">
        <f>SUM(PRIJZEN!C21/1000*40)</f>
        <v>0.62</v>
      </c>
      <c r="D24" s="563"/>
      <c r="E24" s="564"/>
      <c r="F24" s="565"/>
      <c r="G24" s="1038" t="s">
        <v>20</v>
      </c>
      <c r="H24" s="1039"/>
      <c r="I24" s="1236"/>
      <c r="J24" s="122"/>
      <c r="K24" s="179" t="s">
        <v>9</v>
      </c>
      <c r="L24" s="655" t="str">
        <f>IF(AND($J24="x",$B24&lt;&gt;""),SUM($J$7:$J$10)*30,"")</f>
        <v/>
      </c>
      <c r="M24" s="121" t="s">
        <v>106</v>
      </c>
      <c r="N24" s="1185" t="str">
        <f t="shared" si="1"/>
        <v/>
      </c>
      <c r="O24" s="991"/>
      <c r="P24" s="412"/>
      <c r="Q24" s="129">
        <f t="shared" si="2"/>
        <v>0</v>
      </c>
      <c r="R24" s="127"/>
      <c r="S24" s="126"/>
      <c r="T24" s="126"/>
      <c r="U24" s="126"/>
      <c r="V24" s="193"/>
      <c r="W24" s="193"/>
      <c r="X24" s="193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409"/>
      <c r="DH24" s="409"/>
      <c r="DI24" s="409"/>
      <c r="DJ24" s="409"/>
      <c r="DK24" s="409"/>
      <c r="DL24" s="409"/>
      <c r="DM24" s="409"/>
      <c r="DN24" s="409"/>
      <c r="DO24" s="409"/>
      <c r="DP24" s="409"/>
      <c r="DQ24" s="409"/>
      <c r="DR24" s="409"/>
      <c r="DS24" s="409"/>
      <c r="DT24" s="409"/>
      <c r="DU24" s="409"/>
      <c r="DV24" s="409"/>
      <c r="DW24" s="409"/>
      <c r="DX24" s="409"/>
      <c r="DY24" s="409"/>
      <c r="DZ24" s="409"/>
      <c r="EA24" s="409"/>
      <c r="EB24" s="409"/>
      <c r="EC24" s="409"/>
      <c r="ED24" s="409"/>
    </row>
    <row r="25" spans="1:134" ht="18" customHeight="1">
      <c r="A25" s="63"/>
      <c r="B25" s="56">
        <f t="shared" si="0"/>
        <v>0</v>
      </c>
      <c r="C25" s="57">
        <f>SUM(PRIJZEN!C22/1000*40)</f>
        <v>0.47600000000000003</v>
      </c>
      <c r="D25" s="563"/>
      <c r="E25" s="564"/>
      <c r="F25" s="565"/>
      <c r="G25" s="1038" t="s">
        <v>21</v>
      </c>
      <c r="H25" s="1039"/>
      <c r="I25" s="1236"/>
      <c r="J25" s="122"/>
      <c r="K25" s="179" t="s">
        <v>9</v>
      </c>
      <c r="L25" s="654" t="str">
        <f>IF(AND($J25="x",$B25&lt;&gt;""),SUM($J$7:$J$10)*25,"")</f>
        <v/>
      </c>
      <c r="M25" s="121" t="s">
        <v>106</v>
      </c>
      <c r="N25" s="1232" t="str">
        <f t="shared" si="1"/>
        <v/>
      </c>
      <c r="O25" s="983"/>
      <c r="P25" s="412"/>
      <c r="Q25" s="129">
        <f t="shared" si="2"/>
        <v>0</v>
      </c>
      <c r="R25" s="127"/>
      <c r="S25" s="126"/>
      <c r="T25" s="126"/>
      <c r="U25" s="126"/>
      <c r="V25" s="193"/>
      <c r="W25" s="193"/>
      <c r="X25" s="193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409"/>
      <c r="DH25" s="409"/>
      <c r="DI25" s="409"/>
      <c r="DJ25" s="409"/>
      <c r="DK25" s="409"/>
      <c r="DL25" s="409"/>
      <c r="DM25" s="409"/>
      <c r="DN25" s="409"/>
      <c r="DO25" s="409"/>
      <c r="DP25" s="409"/>
      <c r="DQ25" s="409"/>
      <c r="DR25" s="409"/>
      <c r="DS25" s="409"/>
      <c r="DT25" s="409"/>
      <c r="DU25" s="409"/>
      <c r="DV25" s="409"/>
      <c r="DW25" s="409"/>
      <c r="DX25" s="409"/>
      <c r="DY25" s="409"/>
      <c r="DZ25" s="409"/>
      <c r="EA25" s="409"/>
      <c r="EB25" s="409"/>
      <c r="EC25" s="409"/>
      <c r="ED25" s="409"/>
    </row>
    <row r="26" spans="1:134" ht="18" customHeight="1">
      <c r="A26" s="63"/>
      <c r="B26" s="56">
        <f t="shared" si="0"/>
        <v>0</v>
      </c>
      <c r="C26" s="57">
        <f>SUM(PRIJZEN!C23/1000*40)</f>
        <v>0.47600000000000003</v>
      </c>
      <c r="D26" s="563"/>
      <c r="E26" s="564"/>
      <c r="F26" s="565"/>
      <c r="G26" s="1038" t="s">
        <v>22</v>
      </c>
      <c r="H26" s="1039"/>
      <c r="I26" s="1236"/>
      <c r="J26" s="122"/>
      <c r="K26" s="179" t="s">
        <v>9</v>
      </c>
      <c r="L26" s="656" t="str">
        <f>IF(AND($J26="x",$B26&lt;&gt;""),SUM($J$7:$J$10)*25,"")</f>
        <v/>
      </c>
      <c r="M26" s="121" t="s">
        <v>106</v>
      </c>
      <c r="N26" s="1223" t="str">
        <f t="shared" si="1"/>
        <v/>
      </c>
      <c r="O26" s="993"/>
      <c r="P26" s="412"/>
      <c r="Q26" s="129">
        <f t="shared" si="2"/>
        <v>0</v>
      </c>
      <c r="R26" s="127"/>
      <c r="S26" s="126"/>
      <c r="T26" s="126"/>
      <c r="U26" s="126"/>
      <c r="V26" s="193"/>
      <c r="W26" s="193"/>
      <c r="X26" s="193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409"/>
      <c r="DH26" s="409"/>
      <c r="DI26" s="409"/>
      <c r="DJ26" s="409"/>
      <c r="DK26" s="409"/>
      <c r="DL26" s="409"/>
      <c r="DM26" s="409"/>
      <c r="DN26" s="409"/>
      <c r="DO26" s="409"/>
      <c r="DP26" s="409"/>
      <c r="DQ26" s="409"/>
      <c r="DR26" s="409"/>
      <c r="DS26" s="409"/>
      <c r="DT26" s="409"/>
      <c r="DU26" s="409"/>
      <c r="DV26" s="409"/>
      <c r="DW26" s="409"/>
      <c r="DX26" s="409"/>
      <c r="DY26" s="409"/>
      <c r="DZ26" s="409"/>
      <c r="EA26" s="409"/>
      <c r="EB26" s="409"/>
      <c r="EC26" s="409"/>
      <c r="ED26" s="409"/>
    </row>
    <row r="27" spans="1:134" ht="18" customHeight="1">
      <c r="A27" s="63"/>
      <c r="B27" s="56">
        <f t="shared" si="0"/>
        <v>0</v>
      </c>
      <c r="C27" s="57">
        <f>SUM(PRIJZEN!C24/1000*40)</f>
        <v>0.47600000000000003</v>
      </c>
      <c r="D27" s="563"/>
      <c r="E27" s="564"/>
      <c r="F27" s="565"/>
      <c r="G27" s="1038" t="s">
        <v>104</v>
      </c>
      <c r="H27" s="1039"/>
      <c r="I27" s="1236"/>
      <c r="J27" s="122"/>
      <c r="K27" s="179" t="s">
        <v>9</v>
      </c>
      <c r="L27" s="656" t="str">
        <f>IF(AND($J27="x",$B27&lt;&gt;""),SUM($J$7:$J$10)/2,"")</f>
        <v/>
      </c>
      <c r="M27" s="121" t="s">
        <v>107</v>
      </c>
      <c r="N27" s="1223" t="str">
        <f t="shared" si="1"/>
        <v/>
      </c>
      <c r="O27" s="993"/>
      <c r="P27" s="412"/>
      <c r="Q27" s="129">
        <f t="shared" si="2"/>
        <v>0</v>
      </c>
      <c r="R27" s="127"/>
      <c r="S27" s="126"/>
      <c r="T27" s="126"/>
      <c r="U27" s="126"/>
      <c r="V27" s="193"/>
      <c r="W27" s="193"/>
      <c r="X27" s="193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409"/>
      <c r="DH27" s="409"/>
      <c r="DI27" s="409"/>
      <c r="DJ27" s="409"/>
      <c r="DK27" s="409"/>
      <c r="DL27" s="409"/>
      <c r="DM27" s="409"/>
      <c r="DN27" s="409"/>
      <c r="DO27" s="409"/>
      <c r="DP27" s="409"/>
      <c r="DQ27" s="409"/>
      <c r="DR27" s="409"/>
      <c r="DS27" s="409"/>
      <c r="DT27" s="409"/>
      <c r="DU27" s="409"/>
      <c r="DV27" s="409"/>
      <c r="DW27" s="409"/>
      <c r="DX27" s="409"/>
      <c r="DY27" s="409"/>
      <c r="DZ27" s="409"/>
      <c r="EA27" s="409"/>
      <c r="EB27" s="409"/>
      <c r="EC27" s="409"/>
      <c r="ED27" s="409"/>
    </row>
    <row r="28" spans="1:134" ht="18" customHeight="1">
      <c r="A28" s="63"/>
      <c r="B28" s="56">
        <f t="shared" si="0"/>
        <v>0</v>
      </c>
      <c r="C28" s="57">
        <f>SUM(PRIJZEN!C25/1000*40)</f>
        <v>4.4000000000000004E-2</v>
      </c>
      <c r="D28" s="563"/>
      <c r="E28" s="564"/>
      <c r="F28" s="565"/>
      <c r="G28" s="1038" t="s">
        <v>105</v>
      </c>
      <c r="H28" s="1039"/>
      <c r="I28" s="1236"/>
      <c r="J28" s="122"/>
      <c r="K28" s="179" t="s">
        <v>9</v>
      </c>
      <c r="L28" s="655" t="str">
        <f>IF(AND($J28="x",$B28&lt;&gt;""),SUM($J$7:$J$10)/2,"")</f>
        <v/>
      </c>
      <c r="M28" s="119" t="s">
        <v>107</v>
      </c>
      <c r="N28" s="1223" t="str">
        <f t="shared" si="1"/>
        <v/>
      </c>
      <c r="O28" s="993"/>
      <c r="P28" s="412"/>
      <c r="Q28" s="129">
        <f t="shared" si="2"/>
        <v>0</v>
      </c>
      <c r="R28" s="127"/>
      <c r="S28" s="126"/>
      <c r="T28" s="126"/>
      <c r="U28" s="126"/>
      <c r="V28" s="193"/>
      <c r="W28" s="193"/>
      <c r="X28" s="193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409"/>
      <c r="DH28" s="409"/>
      <c r="DI28" s="409"/>
      <c r="DJ28" s="409"/>
      <c r="DK28" s="409"/>
      <c r="DL28" s="409"/>
      <c r="DM28" s="409"/>
      <c r="DN28" s="409"/>
      <c r="DO28" s="409"/>
      <c r="DP28" s="409"/>
      <c r="DQ28" s="409"/>
      <c r="DR28" s="409"/>
      <c r="DS28" s="409"/>
      <c r="DT28" s="409"/>
      <c r="DU28" s="409"/>
      <c r="DV28" s="409"/>
      <c r="DW28" s="409"/>
      <c r="DX28" s="409"/>
      <c r="DY28" s="409"/>
      <c r="DZ28" s="409"/>
      <c r="EA28" s="409"/>
      <c r="EB28" s="409"/>
      <c r="EC28" s="409"/>
      <c r="ED28" s="409"/>
    </row>
    <row r="29" spans="1:134" ht="18" customHeight="1">
      <c r="A29" s="63"/>
      <c r="B29" s="56">
        <f t="shared" si="0"/>
        <v>0</v>
      </c>
      <c r="C29" s="57">
        <f>SUM(PRIJZEN!C26/1000*40)</f>
        <v>5.6000000000000001E-2</v>
      </c>
      <c r="D29" s="563"/>
      <c r="E29" s="564"/>
      <c r="F29" s="565"/>
      <c r="G29" s="1038" t="s">
        <v>473</v>
      </c>
      <c r="H29" s="1039"/>
      <c r="I29" s="1236"/>
      <c r="J29" s="122"/>
      <c r="K29" s="179" t="s">
        <v>9</v>
      </c>
      <c r="L29" s="654" t="str">
        <f>IF(AND($J29="x",$B29&lt;&gt;""),SUM($J$7:$J$10),"")</f>
        <v/>
      </c>
      <c r="M29" s="120" t="s">
        <v>107</v>
      </c>
      <c r="N29" s="1223" t="str">
        <f t="shared" si="1"/>
        <v/>
      </c>
      <c r="O29" s="993"/>
      <c r="P29" s="412"/>
      <c r="Q29" s="129">
        <f t="shared" si="2"/>
        <v>0</v>
      </c>
      <c r="R29" s="127"/>
      <c r="S29" s="126"/>
      <c r="T29" s="126"/>
      <c r="U29" s="126"/>
      <c r="V29" s="193"/>
      <c r="W29" s="193"/>
      <c r="X29" s="193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409"/>
      <c r="DH29" s="409"/>
      <c r="DI29" s="409"/>
      <c r="DJ29" s="409"/>
      <c r="DK29" s="409"/>
      <c r="DL29" s="409"/>
      <c r="DM29" s="409"/>
      <c r="DN29" s="409"/>
      <c r="DO29" s="409"/>
      <c r="DP29" s="409"/>
      <c r="DQ29" s="409"/>
      <c r="DR29" s="409"/>
      <c r="DS29" s="409"/>
      <c r="DT29" s="409"/>
      <c r="DU29" s="409"/>
      <c r="DV29" s="409"/>
      <c r="DW29" s="409"/>
      <c r="DX29" s="409"/>
      <c r="DY29" s="409"/>
      <c r="DZ29" s="409"/>
      <c r="EA29" s="409"/>
      <c r="EB29" s="409"/>
      <c r="EC29" s="409"/>
      <c r="ED29" s="409"/>
    </row>
    <row r="30" spans="1:134" ht="18" customHeight="1">
      <c r="A30" s="63"/>
      <c r="B30" s="56">
        <f t="shared" si="0"/>
        <v>0</v>
      </c>
      <c r="C30" s="57">
        <f>SUM(PRIJZEN!C27/1000*40)</f>
        <v>2.2000000000000002E-2</v>
      </c>
      <c r="D30" s="567"/>
      <c r="E30" s="564"/>
      <c r="F30" s="568"/>
      <c r="G30" s="1237" t="s">
        <v>474</v>
      </c>
      <c r="H30" s="1238"/>
      <c r="I30" s="1239"/>
      <c r="J30" s="122"/>
      <c r="K30" s="179" t="s">
        <v>9</v>
      </c>
      <c r="L30" s="656" t="str">
        <f>IF(AND($J30="x",$B30&lt;&gt;""),SUM($J$7:$J$10),"")</f>
        <v/>
      </c>
      <c r="M30" s="121" t="s">
        <v>107</v>
      </c>
      <c r="N30" s="1185" t="str">
        <f t="shared" si="1"/>
        <v/>
      </c>
      <c r="O30" s="991"/>
      <c r="P30" s="412"/>
      <c r="Q30" s="129">
        <f t="shared" si="2"/>
        <v>0</v>
      </c>
      <c r="R30" s="127"/>
      <c r="S30" s="126"/>
      <c r="T30" s="126"/>
      <c r="U30" s="126"/>
      <c r="V30" s="193"/>
      <c r="W30" s="193"/>
      <c r="X30" s="193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409"/>
      <c r="DH30" s="409"/>
      <c r="DI30" s="409"/>
      <c r="DJ30" s="409"/>
      <c r="DK30" s="409"/>
      <c r="DL30" s="409"/>
      <c r="DM30" s="409"/>
      <c r="DN30" s="409"/>
      <c r="DO30" s="409"/>
      <c r="DP30" s="409"/>
      <c r="DQ30" s="409"/>
      <c r="DR30" s="409"/>
      <c r="DS30" s="409"/>
      <c r="DT30" s="409"/>
      <c r="DU30" s="409"/>
      <c r="DV30" s="409"/>
      <c r="DW30" s="409"/>
      <c r="DX30" s="409"/>
      <c r="DY30" s="409"/>
      <c r="DZ30" s="409"/>
      <c r="EA30" s="409"/>
      <c r="EB30" s="409"/>
      <c r="EC30" s="409"/>
      <c r="ED30" s="409"/>
    </row>
    <row r="31" spans="1:134" ht="18" customHeight="1">
      <c r="A31" s="63"/>
      <c r="B31" s="56">
        <f t="shared" si="0"/>
        <v>0</v>
      </c>
      <c r="C31" s="57">
        <f>SUM(PRIJZEN!C28/1000*40)</f>
        <v>2.3999999999999997E-2</v>
      </c>
      <c r="D31" s="567"/>
      <c r="E31" s="564"/>
      <c r="F31" s="568"/>
      <c r="G31" s="1237" t="s">
        <v>475</v>
      </c>
      <c r="H31" s="1238"/>
      <c r="I31" s="1239"/>
      <c r="J31" s="122"/>
      <c r="K31" s="179" t="s">
        <v>9</v>
      </c>
      <c r="L31" s="656" t="str">
        <f>IF(AND($J31="x",$B31&lt;&gt;""),SUM($J$7:$J$10),"")</f>
        <v/>
      </c>
      <c r="M31" s="121" t="s">
        <v>107</v>
      </c>
      <c r="N31" s="1232" t="str">
        <f t="shared" si="1"/>
        <v/>
      </c>
      <c r="O31" s="983"/>
      <c r="P31" s="412"/>
      <c r="Q31" s="129">
        <f t="shared" si="2"/>
        <v>0</v>
      </c>
      <c r="R31" s="127"/>
      <c r="S31" s="126"/>
      <c r="T31" s="126"/>
      <c r="U31" s="126"/>
      <c r="V31" s="193"/>
      <c r="W31" s="193"/>
      <c r="X31" s="193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409"/>
      <c r="DH31" s="409"/>
      <c r="DI31" s="409"/>
      <c r="DJ31" s="409"/>
      <c r="DK31" s="409"/>
      <c r="DL31" s="409"/>
      <c r="DM31" s="409"/>
      <c r="DN31" s="409"/>
      <c r="DO31" s="409"/>
      <c r="DP31" s="409"/>
      <c r="DQ31" s="409"/>
      <c r="DR31" s="409"/>
      <c r="DS31" s="409"/>
      <c r="DT31" s="409"/>
      <c r="DU31" s="409"/>
      <c r="DV31" s="409"/>
      <c r="DW31" s="409"/>
      <c r="DX31" s="409"/>
      <c r="DY31" s="409"/>
      <c r="DZ31" s="409"/>
      <c r="EA31" s="409"/>
      <c r="EB31" s="409"/>
      <c r="EC31" s="409"/>
      <c r="ED31" s="409"/>
    </row>
    <row r="32" spans="1:134" ht="18" customHeight="1">
      <c r="A32" s="63"/>
      <c r="B32" s="56">
        <f t="shared" si="0"/>
        <v>0</v>
      </c>
      <c r="C32" s="57">
        <f>SUM(PRIJZEN!C29/1000*40)</f>
        <v>1.6E-2</v>
      </c>
      <c r="D32" s="567"/>
      <c r="E32" s="564"/>
      <c r="F32" s="568"/>
      <c r="G32" s="1240" t="s">
        <v>23</v>
      </c>
      <c r="H32" s="1241"/>
      <c r="I32" s="1242"/>
      <c r="J32" s="123"/>
      <c r="K32" s="180" t="s">
        <v>9</v>
      </c>
      <c r="L32" s="657" t="str">
        <f>IF(AND($J32="x",$B32&lt;&gt;""),SUM($J$7:$J$10),"")</f>
        <v/>
      </c>
      <c r="M32" s="119" t="s">
        <v>108</v>
      </c>
      <c r="N32" s="1234" t="str">
        <f t="shared" si="1"/>
        <v/>
      </c>
      <c r="O32" s="1201"/>
      <c r="P32" s="412"/>
      <c r="Q32" s="129">
        <f t="shared" si="2"/>
        <v>0</v>
      </c>
      <c r="R32" s="127"/>
      <c r="S32" s="126"/>
      <c r="T32" s="126"/>
      <c r="U32" s="126"/>
      <c r="V32" s="193"/>
      <c r="W32" s="193"/>
      <c r="X32" s="193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409"/>
      <c r="DH32" s="409"/>
      <c r="DI32" s="409"/>
      <c r="DJ32" s="409"/>
      <c r="DK32" s="409"/>
      <c r="DL32" s="409"/>
      <c r="DM32" s="409"/>
      <c r="DN32" s="409"/>
      <c r="DO32" s="409"/>
      <c r="DP32" s="409"/>
      <c r="DQ32" s="409"/>
      <c r="DR32" s="409"/>
      <c r="DS32" s="409"/>
      <c r="DT32" s="409"/>
      <c r="DU32" s="409"/>
      <c r="DV32" s="409"/>
      <c r="DW32" s="409"/>
      <c r="DX32" s="409"/>
      <c r="DY32" s="409"/>
      <c r="DZ32" s="409"/>
      <c r="EA32" s="409"/>
      <c r="EB32" s="409"/>
      <c r="EC32" s="409"/>
      <c r="ED32" s="409"/>
    </row>
    <row r="33" spans="1:134" ht="19.5" customHeight="1">
      <c r="A33" s="63"/>
      <c r="B33" s="615"/>
      <c r="C33" s="717"/>
      <c r="D33" s="718"/>
      <c r="E33" s="718"/>
      <c r="F33" s="173"/>
      <c r="G33" s="1186" t="s">
        <v>44</v>
      </c>
      <c r="H33" s="1186"/>
      <c r="I33" s="1005"/>
      <c r="J33" s="1005"/>
      <c r="K33" s="1005"/>
      <c r="L33" s="1008">
        <f>SUM(N15:O32)</f>
        <v>0</v>
      </c>
      <c r="M33" s="1007"/>
      <c r="N33" s="705"/>
      <c r="O33" s="719"/>
      <c r="P33" s="412"/>
      <c r="Q33" s="1233"/>
      <c r="R33" s="1233"/>
      <c r="S33" s="126"/>
      <c r="T33" s="126"/>
      <c r="U33" s="126"/>
      <c r="V33" s="193"/>
      <c r="W33" s="193"/>
      <c r="X33" s="193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1"/>
      <c r="AZ33" s="61"/>
      <c r="BA33" s="61"/>
      <c r="BB33" s="61"/>
      <c r="BC33" s="61"/>
      <c r="BD33" s="61"/>
      <c r="BE33" s="61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409"/>
      <c r="DH33" s="409"/>
      <c r="DI33" s="409"/>
      <c r="DJ33" s="409"/>
      <c r="DK33" s="409"/>
      <c r="DL33" s="409"/>
      <c r="DM33" s="409"/>
      <c r="DN33" s="409"/>
      <c r="DO33" s="409"/>
      <c r="DP33" s="409"/>
      <c r="DQ33" s="409"/>
      <c r="DR33" s="409"/>
      <c r="DS33" s="409"/>
      <c r="DT33" s="409"/>
      <c r="DU33" s="409"/>
      <c r="DV33" s="409"/>
      <c r="DW33" s="409"/>
      <c r="DX33" s="409"/>
      <c r="DY33" s="409"/>
      <c r="DZ33" s="409"/>
      <c r="EA33" s="409"/>
      <c r="EB33" s="409"/>
      <c r="EC33" s="409"/>
      <c r="ED33" s="409"/>
    </row>
    <row r="34" spans="1:134" ht="21.9" customHeight="1">
      <c r="A34" s="61"/>
      <c r="B34" s="714" t="s">
        <v>76</v>
      </c>
      <c r="C34" s="1104" t="s">
        <v>47</v>
      </c>
      <c r="D34" s="1105"/>
      <c r="E34" s="1105"/>
      <c r="F34" s="1105"/>
      <c r="G34" s="1105"/>
      <c r="H34" s="1105"/>
      <c r="I34" s="1105"/>
      <c r="J34" s="1105"/>
      <c r="K34" s="1105"/>
      <c r="L34" s="1105"/>
      <c r="M34" s="1105"/>
      <c r="N34" s="1105"/>
      <c r="O34" s="1106"/>
      <c r="P34" s="187"/>
      <c r="Q34" s="125"/>
      <c r="R34" s="126"/>
      <c r="S34" s="126"/>
      <c r="T34" s="126"/>
      <c r="U34" s="126"/>
      <c r="V34" s="193"/>
      <c r="W34" s="193"/>
      <c r="X34" s="193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1"/>
      <c r="AZ34" s="61"/>
      <c r="BA34" s="803" t="s">
        <v>112</v>
      </c>
      <c r="BB34" s="61"/>
      <c r="BC34" s="61"/>
      <c r="BD34" s="61"/>
      <c r="BE34" s="803" t="s">
        <v>723</v>
      </c>
      <c r="BF34" s="65"/>
      <c r="BG34" s="65"/>
      <c r="BH34" s="201" t="s">
        <v>724</v>
      </c>
      <c r="BI34" s="65"/>
      <c r="BJ34" s="65"/>
      <c r="BK34" s="201" t="s">
        <v>725</v>
      </c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</row>
    <row r="35" spans="1:134" ht="20.05" customHeight="1">
      <c r="A35" s="61"/>
      <c r="B35" s="1190" t="s">
        <v>619</v>
      </c>
      <c r="C35" s="1191"/>
      <c r="D35" s="1191"/>
      <c r="E35" s="1191"/>
      <c r="F35" s="1191"/>
      <c r="G35" s="1191"/>
      <c r="H35" s="1192"/>
      <c r="I35" s="664" t="s">
        <v>50</v>
      </c>
      <c r="J35" s="113"/>
      <c r="K35" s="170" t="s">
        <v>8</v>
      </c>
      <c r="L35" s="720">
        <f>PRIJZEN!C31</f>
        <v>45</v>
      </c>
      <c r="M35" s="166" t="s">
        <v>9</v>
      </c>
      <c r="N35" s="1181" t="str">
        <f>IF(J35="","",SUM(J35*L35))</f>
        <v/>
      </c>
      <c r="O35" s="1182"/>
      <c r="P35" s="412"/>
      <c r="Q35" s="130"/>
      <c r="R35" s="125"/>
      <c r="S35" s="131"/>
      <c r="T35" s="131"/>
      <c r="U35" s="131"/>
      <c r="V35" s="194"/>
      <c r="W35" s="194"/>
      <c r="X35" s="194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1"/>
      <c r="AZ35" s="61"/>
      <c r="BA35" s="804" t="s">
        <v>92</v>
      </c>
      <c r="BB35" s="61"/>
      <c r="BC35" s="61"/>
      <c r="BD35" s="61"/>
      <c r="BE35" s="805" t="s">
        <v>65</v>
      </c>
      <c r="BF35" s="65"/>
      <c r="BG35" s="65"/>
      <c r="BH35" s="205" t="s">
        <v>65</v>
      </c>
      <c r="BI35" s="65"/>
      <c r="BJ35" s="65"/>
      <c r="BK35" s="205" t="s">
        <v>65</v>
      </c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409"/>
      <c r="DH35" s="409"/>
      <c r="DI35" s="409"/>
      <c r="DJ35" s="409"/>
      <c r="DK35" s="409"/>
      <c r="DL35" s="409"/>
      <c r="DM35" s="409"/>
      <c r="DN35" s="409"/>
      <c r="DO35" s="409"/>
      <c r="DP35" s="409"/>
      <c r="DQ35" s="409"/>
      <c r="DR35" s="409"/>
      <c r="DS35" s="409"/>
      <c r="DT35" s="409"/>
      <c r="DU35" s="409"/>
      <c r="DV35" s="409"/>
      <c r="DW35" s="409"/>
      <c r="DX35" s="409"/>
      <c r="DY35" s="409"/>
      <c r="DZ35" s="409"/>
      <c r="EA35" s="409"/>
      <c r="EB35" s="409"/>
      <c r="EC35" s="409"/>
      <c r="ED35" s="409"/>
    </row>
    <row r="36" spans="1:134" ht="20.05" customHeight="1">
      <c r="A36" s="61"/>
      <c r="B36" s="1187" t="s">
        <v>26</v>
      </c>
      <c r="C36" s="1188"/>
      <c r="D36" s="1188"/>
      <c r="E36" s="1188"/>
      <c r="F36" s="1188"/>
      <c r="G36" s="1188"/>
      <c r="H36" s="1189"/>
      <c r="I36" s="665" t="s">
        <v>50</v>
      </c>
      <c r="J36" s="115"/>
      <c r="K36" s="170" t="s">
        <v>8</v>
      </c>
      <c r="L36" s="658">
        <f>PRIJZEN!C32</f>
        <v>69</v>
      </c>
      <c r="M36" s="171" t="s">
        <v>9</v>
      </c>
      <c r="N36" s="990" t="str">
        <f>IF(J36="","",SUM(J36*L36))</f>
        <v/>
      </c>
      <c r="O36" s="991"/>
      <c r="P36" s="412"/>
      <c r="Q36" s="125"/>
      <c r="R36" s="125"/>
      <c r="S36" s="131"/>
      <c r="T36" s="131"/>
      <c r="U36" s="131"/>
      <c r="V36" s="194"/>
      <c r="W36" s="194"/>
      <c r="X36" s="194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1"/>
      <c r="AZ36" s="61"/>
      <c r="BA36" s="805" t="s">
        <v>65</v>
      </c>
      <c r="BB36" s="61"/>
      <c r="BC36" s="61"/>
      <c r="BD36" s="61"/>
      <c r="BE36" s="805" t="s">
        <v>66</v>
      </c>
      <c r="BF36" s="65"/>
      <c r="BG36" s="65"/>
      <c r="BH36" s="205" t="s">
        <v>66</v>
      </c>
      <c r="BI36" s="65"/>
      <c r="BJ36" s="65"/>
      <c r="BK36" s="205" t="s">
        <v>66</v>
      </c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409"/>
      <c r="DH36" s="409"/>
      <c r="DI36" s="409"/>
      <c r="DJ36" s="409"/>
      <c r="DK36" s="409"/>
      <c r="DL36" s="409"/>
      <c r="DM36" s="409"/>
      <c r="DN36" s="409"/>
      <c r="DO36" s="409"/>
      <c r="DP36" s="409"/>
      <c r="DQ36" s="409"/>
      <c r="DR36" s="409"/>
      <c r="DS36" s="409"/>
      <c r="DT36" s="409"/>
      <c r="DU36" s="409"/>
      <c r="DV36" s="409"/>
      <c r="DW36" s="409"/>
      <c r="DX36" s="409"/>
      <c r="DY36" s="409"/>
      <c r="DZ36" s="409"/>
      <c r="EA36" s="409"/>
      <c r="EB36" s="409"/>
      <c r="EC36" s="409"/>
      <c r="ED36" s="409"/>
    </row>
    <row r="37" spans="1:134" ht="20.05" customHeight="1">
      <c r="A37" s="61"/>
      <c r="B37" s="1187" t="s">
        <v>42</v>
      </c>
      <c r="C37" s="1188"/>
      <c r="D37" s="1188"/>
      <c r="E37" s="1188"/>
      <c r="F37" s="1188"/>
      <c r="G37" s="1188"/>
      <c r="H37" s="1189"/>
      <c r="I37" s="665" t="s">
        <v>50</v>
      </c>
      <c r="J37" s="115"/>
      <c r="K37" s="170" t="s">
        <v>8</v>
      </c>
      <c r="L37" s="652">
        <f>PRIJZEN!C33</f>
        <v>32.5</v>
      </c>
      <c r="M37" s="171" t="s">
        <v>9</v>
      </c>
      <c r="N37" s="990" t="str">
        <f>IF(J37="","",SUM(J37*L37))</f>
        <v/>
      </c>
      <c r="O37" s="991"/>
      <c r="P37" s="412"/>
      <c r="Q37" s="132"/>
      <c r="R37" s="132"/>
      <c r="S37" s="132"/>
      <c r="T37" s="132"/>
      <c r="U37" s="132"/>
      <c r="V37" s="190"/>
      <c r="W37" s="190"/>
      <c r="X37" s="190"/>
      <c r="Y37" s="65"/>
      <c r="Z37" s="65" t="s">
        <v>27</v>
      </c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1"/>
      <c r="AZ37" s="61"/>
      <c r="BA37" s="805" t="s">
        <v>66</v>
      </c>
      <c r="BB37" s="61"/>
      <c r="BC37" s="61"/>
      <c r="BD37" s="61"/>
      <c r="BE37" s="805" t="s">
        <v>67</v>
      </c>
      <c r="BF37" s="65"/>
      <c r="BG37" s="65"/>
      <c r="BH37" s="205" t="s">
        <v>67</v>
      </c>
      <c r="BI37" s="65"/>
      <c r="BJ37" s="65"/>
      <c r="BK37" s="205" t="s">
        <v>67</v>
      </c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409"/>
      <c r="DH37" s="409"/>
      <c r="DI37" s="409"/>
      <c r="DJ37" s="409"/>
      <c r="DK37" s="409"/>
      <c r="DL37" s="409"/>
      <c r="DM37" s="409"/>
      <c r="DN37" s="409"/>
      <c r="DO37" s="409"/>
      <c r="DP37" s="409"/>
      <c r="DQ37" s="409"/>
      <c r="DR37" s="409"/>
      <c r="DS37" s="409"/>
      <c r="DT37" s="409"/>
      <c r="DU37" s="409"/>
      <c r="DV37" s="409"/>
      <c r="DW37" s="409"/>
      <c r="DX37" s="409"/>
      <c r="DY37" s="409"/>
      <c r="DZ37" s="409"/>
      <c r="EA37" s="409"/>
      <c r="EB37" s="409"/>
      <c r="EC37" s="409"/>
      <c r="ED37" s="409"/>
    </row>
    <row r="38" spans="1:134" ht="20.05" customHeight="1">
      <c r="A38" s="61"/>
      <c r="B38" s="1187" t="s">
        <v>28</v>
      </c>
      <c r="C38" s="1188"/>
      <c r="D38" s="1188"/>
      <c r="E38" s="1188"/>
      <c r="F38" s="1188"/>
      <c r="G38" s="1188"/>
      <c r="H38" s="1189"/>
      <c r="I38" s="665" t="s">
        <v>50</v>
      </c>
      <c r="J38" s="115"/>
      <c r="K38" s="170" t="s">
        <v>8</v>
      </c>
      <c r="L38" s="652">
        <f>PRIJZEN!C34</f>
        <v>40.950000000000003</v>
      </c>
      <c r="M38" s="171" t="s">
        <v>9</v>
      </c>
      <c r="N38" s="990" t="str">
        <f>IF(J38="","",SUM(J38*L38))</f>
        <v/>
      </c>
      <c r="O38" s="991"/>
      <c r="P38" s="412"/>
      <c r="Q38" s="125"/>
      <c r="R38" s="125"/>
      <c r="S38" s="133"/>
      <c r="T38" s="133"/>
      <c r="U38" s="133"/>
      <c r="V38" s="97"/>
      <c r="W38" s="97"/>
      <c r="X38" s="97"/>
      <c r="Y38" s="195"/>
      <c r="Z38" s="196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1"/>
      <c r="AZ38" s="61"/>
      <c r="BA38" s="805" t="s">
        <v>67</v>
      </c>
      <c r="BB38" s="61"/>
      <c r="BC38" s="61"/>
      <c r="BD38" s="61"/>
      <c r="BE38" s="805" t="s">
        <v>516</v>
      </c>
      <c r="BF38" s="65"/>
      <c r="BG38" s="65"/>
      <c r="BH38" s="205" t="s">
        <v>516</v>
      </c>
      <c r="BI38" s="65"/>
      <c r="BJ38" s="65"/>
      <c r="BK38" s="205" t="s">
        <v>516</v>
      </c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409"/>
      <c r="DH38" s="409"/>
      <c r="DI38" s="409"/>
      <c r="DJ38" s="409"/>
      <c r="DK38" s="409"/>
      <c r="DL38" s="409"/>
      <c r="DM38" s="409"/>
      <c r="DN38" s="409"/>
      <c r="DO38" s="409"/>
      <c r="DP38" s="409"/>
      <c r="DQ38" s="409"/>
      <c r="DR38" s="409"/>
      <c r="DS38" s="409"/>
      <c r="DT38" s="409"/>
      <c r="DU38" s="409"/>
      <c r="DV38" s="409"/>
      <c r="DW38" s="409"/>
      <c r="DX38" s="409"/>
      <c r="DY38" s="409"/>
      <c r="DZ38" s="409"/>
      <c r="EA38" s="409"/>
      <c r="EB38" s="409"/>
      <c r="EC38" s="409"/>
      <c r="ED38" s="409"/>
    </row>
    <row r="39" spans="1:134" ht="20.05" customHeight="1">
      <c r="A39" s="61"/>
      <c r="B39" s="1187" t="s">
        <v>29</v>
      </c>
      <c r="C39" s="1188"/>
      <c r="D39" s="1188"/>
      <c r="E39" s="1188"/>
      <c r="F39" s="1188"/>
      <c r="G39" s="1188"/>
      <c r="H39" s="1189"/>
      <c r="I39" s="663" t="s">
        <v>50</v>
      </c>
      <c r="J39" s="149"/>
      <c r="K39" s="170" t="s">
        <v>8</v>
      </c>
      <c r="L39" s="659">
        <f>PRIJZEN!C35</f>
        <v>22.95</v>
      </c>
      <c r="M39" s="171" t="s">
        <v>9</v>
      </c>
      <c r="N39" s="988" t="str">
        <f>IF(J39="","",SUM(J39*L39))</f>
        <v/>
      </c>
      <c r="O39" s="989"/>
      <c r="P39" s="412"/>
      <c r="Q39" s="125"/>
      <c r="R39" s="577"/>
      <c r="S39" s="127"/>
      <c r="T39" s="127"/>
      <c r="U39" s="127"/>
      <c r="V39" s="197"/>
      <c r="W39" s="198"/>
      <c r="X39" s="67"/>
      <c r="Y39" s="195"/>
      <c r="Z39" s="199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1"/>
      <c r="AZ39" s="61"/>
      <c r="BA39" s="805" t="s">
        <v>516</v>
      </c>
      <c r="BB39" s="61"/>
      <c r="BC39" s="61"/>
      <c r="BD39" s="61"/>
      <c r="BE39" s="805" t="s">
        <v>64</v>
      </c>
      <c r="BF39" s="65"/>
      <c r="BG39" s="65"/>
      <c r="BH39" s="205" t="s">
        <v>64</v>
      </c>
      <c r="BI39" s="65"/>
      <c r="BJ39" s="65"/>
      <c r="BK39" s="205" t="s">
        <v>64</v>
      </c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409"/>
      <c r="DH39" s="409"/>
      <c r="DI39" s="409"/>
      <c r="DJ39" s="409"/>
      <c r="DK39" s="409"/>
      <c r="DL39" s="409"/>
      <c r="DM39" s="409"/>
      <c r="DN39" s="409"/>
      <c r="DO39" s="409"/>
      <c r="DP39" s="409"/>
      <c r="DQ39" s="409"/>
      <c r="DR39" s="409"/>
      <c r="DS39" s="409"/>
      <c r="DT39" s="409"/>
      <c r="DU39" s="409"/>
      <c r="DV39" s="409"/>
      <c r="DW39" s="409"/>
      <c r="DX39" s="409"/>
      <c r="DY39" s="409"/>
      <c r="DZ39" s="409"/>
      <c r="EA39" s="409"/>
      <c r="EB39" s="409"/>
      <c r="EC39" s="409"/>
      <c r="ED39" s="409"/>
    </row>
    <row r="40" spans="1:134" ht="21.9" customHeight="1">
      <c r="A40" s="61"/>
      <c r="B40" s="714" t="s">
        <v>77</v>
      </c>
      <c r="C40" s="1170" t="s">
        <v>48</v>
      </c>
      <c r="D40" s="1171"/>
      <c r="E40" s="1171"/>
      <c r="F40" s="1171"/>
      <c r="G40" s="1171"/>
      <c r="H40" s="1171"/>
      <c r="I40" s="1171"/>
      <c r="J40" s="1171"/>
      <c r="K40" s="1171"/>
      <c r="L40" s="1171"/>
      <c r="M40" s="1171"/>
      <c r="N40" s="1171"/>
      <c r="O40" s="1172"/>
      <c r="P40" s="187"/>
      <c r="Q40" s="125"/>
      <c r="R40" s="577"/>
      <c r="S40" s="134"/>
      <c r="T40" s="134"/>
      <c r="U40" s="134"/>
      <c r="V40" s="200"/>
      <c r="W40" s="198"/>
      <c r="X40" s="67"/>
      <c r="Y40" s="195"/>
      <c r="Z40" s="199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1"/>
      <c r="AZ40" s="61"/>
      <c r="BA40" s="805" t="s">
        <v>64</v>
      </c>
      <c r="BB40" s="61"/>
      <c r="BC40" s="61"/>
      <c r="BD40" s="61"/>
      <c r="BE40" s="805" t="s">
        <v>713</v>
      </c>
      <c r="BF40" s="65"/>
      <c r="BG40" s="65"/>
      <c r="BH40" s="205" t="s">
        <v>713</v>
      </c>
      <c r="BI40" s="65"/>
      <c r="BJ40" s="65"/>
      <c r="BK40" s="205" t="s">
        <v>713</v>
      </c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409"/>
      <c r="DH40" s="409"/>
      <c r="DI40" s="409"/>
      <c r="DJ40" s="409"/>
      <c r="DK40" s="409"/>
      <c r="DL40" s="409"/>
      <c r="DM40" s="409"/>
      <c r="DN40" s="409"/>
      <c r="DO40" s="409"/>
      <c r="DP40" s="409"/>
      <c r="DQ40" s="409"/>
      <c r="DR40" s="409"/>
      <c r="DS40" s="409"/>
      <c r="DT40" s="409"/>
      <c r="DU40" s="409"/>
      <c r="DV40" s="409"/>
      <c r="DW40" s="409"/>
      <c r="DX40" s="409"/>
      <c r="DY40" s="409"/>
      <c r="DZ40" s="409"/>
      <c r="EA40" s="409"/>
      <c r="EB40" s="409"/>
      <c r="EC40" s="409"/>
      <c r="ED40" s="409"/>
    </row>
    <row r="41" spans="1:134" ht="20.05" customHeight="1">
      <c r="A41" s="61"/>
      <c r="B41" s="1190" t="s">
        <v>680</v>
      </c>
      <c r="C41" s="1191"/>
      <c r="D41" s="1191"/>
      <c r="E41" s="1191"/>
      <c r="F41" s="1191"/>
      <c r="G41" s="1191"/>
      <c r="H41" s="1192"/>
      <c r="I41" s="664" t="s">
        <v>33</v>
      </c>
      <c r="J41" s="113"/>
      <c r="K41" s="170" t="s">
        <v>8</v>
      </c>
      <c r="L41" s="651">
        <f>PRIJZEN!C36</f>
        <v>5.5</v>
      </c>
      <c r="M41" s="166" t="s">
        <v>9</v>
      </c>
      <c r="N41" s="1181" t="str">
        <f>IF(Q41="Minimaal 6 personen!","minimaal 6 personen!",R41)</f>
        <v/>
      </c>
      <c r="O41" s="1182"/>
      <c r="P41" s="412"/>
      <c r="Q41" s="129" t="str">
        <f t="shared" ref="Q41:Q53" si="3">IF(AND($J41&gt;0,$J41&lt;6),"minimaal 6 personen!",$R41)</f>
        <v/>
      </c>
      <c r="R41" s="135" t="str">
        <f>IF($J41="","",$J41*$L41)</f>
        <v/>
      </c>
      <c r="S41" s="134"/>
      <c r="T41" s="134"/>
      <c r="U41" s="134"/>
      <c r="V41" s="200"/>
      <c r="W41" s="198"/>
      <c r="X41" s="67"/>
      <c r="Y41" s="195"/>
      <c r="Z41" s="199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1"/>
      <c r="AZ41" s="61"/>
      <c r="BA41" s="805" t="s">
        <v>713</v>
      </c>
      <c r="BB41" s="61"/>
      <c r="BC41" s="61"/>
      <c r="BD41" s="61"/>
      <c r="BE41" s="805" t="s">
        <v>714</v>
      </c>
      <c r="BF41" s="65"/>
      <c r="BG41" s="65"/>
      <c r="BH41" s="205" t="s">
        <v>714</v>
      </c>
      <c r="BI41" s="65"/>
      <c r="BJ41" s="65"/>
      <c r="BK41" s="205" t="s">
        <v>714</v>
      </c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409"/>
      <c r="DH41" s="409"/>
      <c r="DI41" s="409"/>
      <c r="DJ41" s="409"/>
      <c r="DK41" s="409"/>
      <c r="DL41" s="409"/>
      <c r="DM41" s="409"/>
      <c r="DN41" s="409"/>
      <c r="DO41" s="409"/>
      <c r="DP41" s="409"/>
      <c r="DQ41" s="409"/>
      <c r="DR41" s="409"/>
      <c r="DS41" s="409"/>
      <c r="DT41" s="409"/>
      <c r="DU41" s="409"/>
      <c r="DV41" s="409"/>
      <c r="DW41" s="409"/>
      <c r="DX41" s="409"/>
      <c r="DY41" s="409"/>
      <c r="DZ41" s="409"/>
      <c r="EA41" s="409"/>
      <c r="EB41" s="409"/>
      <c r="EC41" s="409"/>
      <c r="ED41" s="409"/>
    </row>
    <row r="42" spans="1:134" ht="20.05" customHeight="1">
      <c r="A42" s="61"/>
      <c r="B42" s="1187" t="s">
        <v>681</v>
      </c>
      <c r="C42" s="1188"/>
      <c r="D42" s="1188"/>
      <c r="E42" s="1188"/>
      <c r="F42" s="1188"/>
      <c r="G42" s="1188"/>
      <c r="H42" s="1189"/>
      <c r="I42" s="665" t="s">
        <v>33</v>
      </c>
      <c r="J42" s="115"/>
      <c r="K42" s="170" t="s">
        <v>8</v>
      </c>
      <c r="L42" s="659">
        <f>PRIJZEN!C37</f>
        <v>5.5</v>
      </c>
      <c r="M42" s="171" t="s">
        <v>9</v>
      </c>
      <c r="N42" s="990" t="str">
        <f t="shared" ref="N42:N53" si="4">IF(Q42="Minimaal 6 personen!","minimaal 6 personen!",R42)</f>
        <v/>
      </c>
      <c r="O42" s="991"/>
      <c r="P42" s="412"/>
      <c r="Q42" s="129" t="str">
        <f t="shared" si="3"/>
        <v/>
      </c>
      <c r="R42" s="135" t="str">
        <f t="shared" ref="R42:R53" si="5">IF($J42="","",$J42*$L42)</f>
        <v/>
      </c>
      <c r="S42" s="134"/>
      <c r="T42" s="134"/>
      <c r="U42" s="134"/>
      <c r="V42" s="200"/>
      <c r="W42" s="198"/>
      <c r="X42" s="67"/>
      <c r="Y42" s="195"/>
      <c r="Z42" s="199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1"/>
      <c r="AZ42" s="61"/>
      <c r="BA42" s="805" t="s">
        <v>714</v>
      </c>
      <c r="BB42" s="61"/>
      <c r="BC42" s="61"/>
      <c r="BD42" s="61"/>
      <c r="BE42" s="805" t="s">
        <v>71</v>
      </c>
      <c r="BF42" s="66"/>
      <c r="BG42" s="66"/>
      <c r="BH42" s="205" t="s">
        <v>71</v>
      </c>
      <c r="BI42" s="66"/>
      <c r="BJ42" s="66"/>
      <c r="BK42" s="205" t="s">
        <v>71</v>
      </c>
      <c r="BL42" s="66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409"/>
      <c r="DH42" s="409"/>
      <c r="DI42" s="409"/>
      <c r="DJ42" s="409"/>
      <c r="DK42" s="409"/>
      <c r="DL42" s="409"/>
      <c r="DM42" s="409"/>
      <c r="DN42" s="409"/>
      <c r="DO42" s="409"/>
      <c r="DP42" s="409"/>
      <c r="DQ42" s="409"/>
      <c r="DR42" s="409"/>
      <c r="DS42" s="409"/>
      <c r="DT42" s="409"/>
      <c r="DU42" s="409"/>
      <c r="DV42" s="409"/>
      <c r="DW42" s="409"/>
      <c r="DX42" s="409"/>
      <c r="DY42" s="409"/>
      <c r="DZ42" s="409"/>
      <c r="EA42" s="409"/>
      <c r="EB42" s="409"/>
      <c r="EC42" s="409"/>
      <c r="ED42" s="409"/>
    </row>
    <row r="43" spans="1:134" ht="20.05" customHeight="1">
      <c r="A43" s="61"/>
      <c r="B43" s="1187" t="s">
        <v>682</v>
      </c>
      <c r="C43" s="1188"/>
      <c r="D43" s="1188"/>
      <c r="E43" s="1188"/>
      <c r="F43" s="1188"/>
      <c r="G43" s="1188"/>
      <c r="H43" s="1189"/>
      <c r="I43" s="665" t="s">
        <v>33</v>
      </c>
      <c r="J43" s="115"/>
      <c r="K43" s="170" t="s">
        <v>8</v>
      </c>
      <c r="L43" s="659">
        <f>PRIJZEN!C38</f>
        <v>5.5</v>
      </c>
      <c r="M43" s="171" t="s">
        <v>9</v>
      </c>
      <c r="N43" s="990" t="str">
        <f t="shared" si="4"/>
        <v/>
      </c>
      <c r="O43" s="991"/>
      <c r="P43" s="412"/>
      <c r="Q43" s="129" t="str">
        <f t="shared" si="3"/>
        <v/>
      </c>
      <c r="R43" s="135" t="str">
        <f t="shared" si="5"/>
        <v/>
      </c>
      <c r="S43" s="134"/>
      <c r="T43" s="134"/>
      <c r="U43" s="134"/>
      <c r="V43" s="200"/>
      <c r="W43" s="198"/>
      <c r="X43" s="67"/>
      <c r="Y43" s="195"/>
      <c r="Z43" s="199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1"/>
      <c r="AZ43" s="61"/>
      <c r="BA43" s="805" t="s">
        <v>71</v>
      </c>
      <c r="BB43" s="61"/>
      <c r="BC43" s="61"/>
      <c r="BD43" s="61"/>
      <c r="BE43" s="806" t="s">
        <v>69</v>
      </c>
      <c r="BF43" s="202"/>
      <c r="BG43" s="202"/>
      <c r="BH43" s="213" t="s">
        <v>69</v>
      </c>
      <c r="BI43" s="65"/>
      <c r="BJ43" s="65"/>
      <c r="BK43" s="213" t="s">
        <v>69</v>
      </c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409"/>
      <c r="DH43" s="409"/>
      <c r="DI43" s="409"/>
      <c r="DJ43" s="409"/>
      <c r="DK43" s="409"/>
      <c r="DL43" s="409"/>
      <c r="DM43" s="409"/>
      <c r="DN43" s="409"/>
      <c r="DO43" s="409"/>
      <c r="DP43" s="409"/>
      <c r="DQ43" s="409"/>
      <c r="DR43" s="409"/>
      <c r="DS43" s="409"/>
      <c r="DT43" s="409"/>
      <c r="DU43" s="409"/>
      <c r="DV43" s="409"/>
      <c r="DW43" s="409"/>
      <c r="DX43" s="409"/>
      <c r="DY43" s="409"/>
      <c r="DZ43" s="409"/>
      <c r="EA43" s="409"/>
      <c r="EB43" s="409"/>
      <c r="EC43" s="409"/>
      <c r="ED43" s="409"/>
    </row>
    <row r="44" spans="1:134" ht="20.05" customHeight="1">
      <c r="A44" s="61"/>
      <c r="B44" s="1187" t="s">
        <v>683</v>
      </c>
      <c r="C44" s="1188"/>
      <c r="D44" s="1188"/>
      <c r="E44" s="1188"/>
      <c r="F44" s="1188"/>
      <c r="G44" s="1188"/>
      <c r="H44" s="1189"/>
      <c r="I44" s="662" t="s">
        <v>33</v>
      </c>
      <c r="J44" s="114"/>
      <c r="K44" s="170" t="s">
        <v>8</v>
      </c>
      <c r="L44" s="659">
        <f>PRIJZEN!C39</f>
        <v>5.9</v>
      </c>
      <c r="M44" s="171" t="s">
        <v>9</v>
      </c>
      <c r="N44" s="990" t="str">
        <f t="shared" si="4"/>
        <v/>
      </c>
      <c r="O44" s="991"/>
      <c r="P44" s="412"/>
      <c r="Q44" s="129" t="str">
        <f t="shared" si="3"/>
        <v/>
      </c>
      <c r="R44" s="135" t="str">
        <f t="shared" si="5"/>
        <v/>
      </c>
      <c r="S44" s="134"/>
      <c r="T44" s="134"/>
      <c r="U44" s="134"/>
      <c r="V44" s="200"/>
      <c r="W44" s="198"/>
      <c r="X44" s="67"/>
      <c r="Y44" s="195"/>
      <c r="Z44" s="199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1"/>
      <c r="AZ44" s="61"/>
      <c r="BA44" s="806" t="s">
        <v>69</v>
      </c>
      <c r="BB44" s="61"/>
      <c r="BC44" s="61"/>
      <c r="BD44" s="61"/>
      <c r="BE44" s="804" t="s">
        <v>70</v>
      </c>
      <c r="BF44" s="202"/>
      <c r="BG44" s="202"/>
      <c r="BH44" s="202" t="s">
        <v>70</v>
      </c>
      <c r="BI44" s="65"/>
      <c r="BJ44" s="65"/>
      <c r="BK44" s="202" t="s">
        <v>70</v>
      </c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409"/>
      <c r="DH44" s="409"/>
      <c r="DI44" s="409"/>
      <c r="DJ44" s="409"/>
      <c r="DK44" s="409"/>
      <c r="DL44" s="409"/>
      <c r="DM44" s="409"/>
      <c r="DN44" s="409"/>
      <c r="DO44" s="409"/>
      <c r="DP44" s="409"/>
      <c r="DQ44" s="409"/>
      <c r="DR44" s="409"/>
      <c r="DS44" s="409"/>
      <c r="DT44" s="409"/>
      <c r="DU44" s="409"/>
      <c r="DV44" s="409"/>
      <c r="DW44" s="409"/>
      <c r="DX44" s="409"/>
      <c r="DY44" s="409"/>
      <c r="DZ44" s="409"/>
      <c r="EA44" s="409"/>
      <c r="EB44" s="409"/>
      <c r="EC44" s="409"/>
      <c r="ED44" s="409"/>
    </row>
    <row r="45" spans="1:134" ht="20.05" customHeight="1">
      <c r="A45" s="61"/>
      <c r="B45" s="1187" t="s">
        <v>684</v>
      </c>
      <c r="C45" s="1188"/>
      <c r="D45" s="1188"/>
      <c r="E45" s="1188"/>
      <c r="F45" s="1188"/>
      <c r="G45" s="1188"/>
      <c r="H45" s="1189"/>
      <c r="I45" s="662" t="s">
        <v>33</v>
      </c>
      <c r="J45" s="114"/>
      <c r="K45" s="170" t="s">
        <v>8</v>
      </c>
      <c r="L45" s="659">
        <f>PRIJZEN!C40</f>
        <v>5.9</v>
      </c>
      <c r="M45" s="171" t="s">
        <v>9</v>
      </c>
      <c r="N45" s="1185" t="str">
        <f t="shared" si="4"/>
        <v/>
      </c>
      <c r="O45" s="991"/>
      <c r="P45" s="412"/>
      <c r="Q45" s="129" t="str">
        <f t="shared" si="3"/>
        <v/>
      </c>
      <c r="R45" s="135" t="str">
        <f t="shared" si="5"/>
        <v/>
      </c>
      <c r="S45" s="134"/>
      <c r="T45" s="134"/>
      <c r="U45" s="134"/>
      <c r="V45" s="200"/>
      <c r="W45" s="198"/>
      <c r="X45" s="67"/>
      <c r="Y45" s="195"/>
      <c r="Z45" s="199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1"/>
      <c r="AZ45" s="61"/>
      <c r="BA45" s="804" t="s">
        <v>70</v>
      </c>
      <c r="BB45" s="61"/>
      <c r="BC45" s="61"/>
      <c r="BD45" s="61"/>
      <c r="BE45" s="804" t="s">
        <v>72</v>
      </c>
      <c r="BF45" s="202"/>
      <c r="BG45" s="202"/>
      <c r="BH45" s="202" t="s">
        <v>72</v>
      </c>
      <c r="BI45" s="65"/>
      <c r="BJ45" s="65"/>
      <c r="BK45" s="202" t="s">
        <v>72</v>
      </c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409"/>
      <c r="DH45" s="409"/>
      <c r="DI45" s="409"/>
      <c r="DJ45" s="409"/>
      <c r="DK45" s="409"/>
      <c r="DL45" s="409"/>
      <c r="DM45" s="409"/>
      <c r="DN45" s="409"/>
      <c r="DO45" s="409"/>
      <c r="DP45" s="409"/>
      <c r="DQ45" s="409"/>
      <c r="DR45" s="409"/>
      <c r="DS45" s="409"/>
      <c r="DT45" s="409"/>
      <c r="DU45" s="409"/>
      <c r="DV45" s="409"/>
      <c r="DW45" s="409"/>
      <c r="DX45" s="409"/>
      <c r="DY45" s="409"/>
      <c r="DZ45" s="409"/>
      <c r="EA45" s="409"/>
      <c r="EB45" s="409"/>
      <c r="EC45" s="409"/>
      <c r="ED45" s="409"/>
    </row>
    <row r="46" spans="1:134" ht="20.05" customHeight="1">
      <c r="A46" s="61"/>
      <c r="B46" s="1187" t="s">
        <v>685</v>
      </c>
      <c r="C46" s="1188"/>
      <c r="D46" s="1188"/>
      <c r="E46" s="1188"/>
      <c r="F46" s="1188"/>
      <c r="G46" s="1188"/>
      <c r="H46" s="1189"/>
      <c r="I46" s="662" t="s">
        <v>33</v>
      </c>
      <c r="J46" s="114"/>
      <c r="K46" s="170" t="s">
        <v>8</v>
      </c>
      <c r="L46" s="659">
        <f>PRIJZEN!C41</f>
        <v>5.9</v>
      </c>
      <c r="M46" s="171" t="s">
        <v>9</v>
      </c>
      <c r="N46" s="1185" t="str">
        <f t="shared" si="4"/>
        <v/>
      </c>
      <c r="O46" s="991"/>
      <c r="P46" s="412"/>
      <c r="Q46" s="129" t="str">
        <f t="shared" si="3"/>
        <v/>
      </c>
      <c r="R46" s="135" t="str">
        <f t="shared" si="5"/>
        <v/>
      </c>
      <c r="S46" s="134"/>
      <c r="T46" s="134"/>
      <c r="U46" s="134"/>
      <c r="V46" s="200"/>
      <c r="W46" s="198"/>
      <c r="X46" s="67"/>
      <c r="Y46" s="195"/>
      <c r="Z46" s="199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1"/>
      <c r="AZ46" s="61"/>
      <c r="BA46" s="804" t="s">
        <v>72</v>
      </c>
      <c r="BB46" s="807"/>
      <c r="BC46" s="808"/>
      <c r="BD46" s="808"/>
      <c r="BE46" s="804" t="s">
        <v>715</v>
      </c>
      <c r="BF46" s="202"/>
      <c r="BG46" s="202"/>
      <c r="BH46" s="202" t="s">
        <v>715</v>
      </c>
      <c r="BI46" s="65"/>
      <c r="BJ46" s="65"/>
      <c r="BK46" s="202" t="s">
        <v>715</v>
      </c>
      <c r="BL46" s="65"/>
      <c r="BM46" s="66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409"/>
      <c r="DH46" s="409"/>
      <c r="DI46" s="409"/>
      <c r="DJ46" s="409"/>
      <c r="DK46" s="409"/>
      <c r="DL46" s="409"/>
      <c r="DM46" s="409"/>
      <c r="DN46" s="409"/>
      <c r="DO46" s="409"/>
      <c r="DP46" s="409"/>
      <c r="DQ46" s="409"/>
      <c r="DR46" s="409"/>
      <c r="DS46" s="409"/>
      <c r="DT46" s="409"/>
      <c r="DU46" s="409"/>
      <c r="DV46" s="409"/>
      <c r="DW46" s="409"/>
      <c r="DX46" s="409"/>
      <c r="DY46" s="409"/>
      <c r="DZ46" s="409"/>
      <c r="EA46" s="409"/>
      <c r="EB46" s="409"/>
      <c r="EC46" s="409"/>
      <c r="ED46" s="409"/>
    </row>
    <row r="47" spans="1:134" ht="20.05" customHeight="1">
      <c r="A47" s="61"/>
      <c r="B47" s="1193" t="s">
        <v>34</v>
      </c>
      <c r="C47" s="957"/>
      <c r="D47" s="957"/>
      <c r="E47" s="957"/>
      <c r="F47" s="957"/>
      <c r="G47" s="957"/>
      <c r="H47" s="958"/>
      <c r="I47" s="662" t="s">
        <v>33</v>
      </c>
      <c r="J47" s="114"/>
      <c r="K47" s="170" t="s">
        <v>8</v>
      </c>
      <c r="L47" s="659">
        <f>PRIJZEN!C42</f>
        <v>3.95</v>
      </c>
      <c r="M47" s="171" t="s">
        <v>9</v>
      </c>
      <c r="N47" s="990" t="str">
        <f t="shared" si="4"/>
        <v/>
      </c>
      <c r="O47" s="991"/>
      <c r="P47" s="412"/>
      <c r="Q47" s="129" t="str">
        <f t="shared" si="3"/>
        <v/>
      </c>
      <c r="R47" s="135" t="str">
        <f t="shared" si="5"/>
        <v/>
      </c>
      <c r="S47" s="134"/>
      <c r="T47" s="134"/>
      <c r="U47" s="134"/>
      <c r="V47" s="200"/>
      <c r="W47" s="198"/>
      <c r="X47" s="67"/>
      <c r="Y47" s="195"/>
      <c r="Z47" s="199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1"/>
      <c r="AZ47" s="61"/>
      <c r="BA47" s="804" t="s">
        <v>715</v>
      </c>
      <c r="BB47" s="809"/>
      <c r="BC47" s="61"/>
      <c r="BD47" s="61"/>
      <c r="BE47" s="804" t="s">
        <v>716</v>
      </c>
      <c r="BF47" s="202"/>
      <c r="BG47" s="202"/>
      <c r="BH47" s="202" t="s">
        <v>716</v>
      </c>
      <c r="BI47" s="65"/>
      <c r="BJ47" s="65"/>
      <c r="BK47" s="202" t="s">
        <v>716</v>
      </c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409"/>
      <c r="DH47" s="409"/>
      <c r="DI47" s="409"/>
      <c r="DJ47" s="409"/>
      <c r="DK47" s="409"/>
      <c r="DL47" s="409"/>
      <c r="DM47" s="409"/>
      <c r="DN47" s="409"/>
      <c r="DO47" s="409"/>
      <c r="DP47" s="409"/>
      <c r="DQ47" s="409"/>
      <c r="DR47" s="409"/>
      <c r="DS47" s="409"/>
      <c r="DT47" s="409"/>
      <c r="DU47" s="409"/>
      <c r="DV47" s="409"/>
      <c r="DW47" s="409"/>
      <c r="DX47" s="409"/>
      <c r="DY47" s="409"/>
      <c r="DZ47" s="409"/>
      <c r="EA47" s="409"/>
      <c r="EB47" s="409"/>
      <c r="EC47" s="409"/>
      <c r="ED47" s="409"/>
    </row>
    <row r="48" spans="1:134" ht="20.05" customHeight="1">
      <c r="A48" s="61"/>
      <c r="B48" s="1193" t="s">
        <v>303</v>
      </c>
      <c r="C48" s="957"/>
      <c r="D48" s="957"/>
      <c r="E48" s="957"/>
      <c r="F48" s="957"/>
      <c r="G48" s="957"/>
      <c r="H48" s="958"/>
      <c r="I48" s="665" t="s">
        <v>33</v>
      </c>
      <c r="J48" s="115"/>
      <c r="K48" s="170" t="s">
        <v>8</v>
      </c>
      <c r="L48" s="659">
        <f>PRIJZEN!C43</f>
        <v>4.9000000000000004</v>
      </c>
      <c r="M48" s="171" t="s">
        <v>9</v>
      </c>
      <c r="N48" s="990" t="str">
        <f t="shared" si="4"/>
        <v/>
      </c>
      <c r="O48" s="991"/>
      <c r="P48" s="412"/>
      <c r="Q48" s="129" t="str">
        <f t="shared" si="3"/>
        <v/>
      </c>
      <c r="R48" s="135" t="str">
        <f t="shared" si="5"/>
        <v/>
      </c>
      <c r="S48" s="134"/>
      <c r="T48" s="134"/>
      <c r="U48" s="134"/>
      <c r="V48" s="200"/>
      <c r="W48" s="198"/>
      <c r="X48" s="67"/>
      <c r="Y48" s="195"/>
      <c r="Z48" s="199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1"/>
      <c r="AZ48" s="61"/>
      <c r="BA48" s="804" t="s">
        <v>716</v>
      </c>
      <c r="BB48" s="809"/>
      <c r="BC48" s="61"/>
      <c r="BD48" s="61"/>
      <c r="BE48" s="804" t="s">
        <v>717</v>
      </c>
      <c r="BF48" s="202"/>
      <c r="BG48" s="202"/>
      <c r="BH48" s="202" t="s">
        <v>717</v>
      </c>
      <c r="BI48" s="65"/>
      <c r="BJ48" s="65"/>
      <c r="BK48" s="202" t="s">
        <v>717</v>
      </c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409"/>
      <c r="DH48" s="409"/>
      <c r="DI48" s="409"/>
      <c r="DJ48" s="409"/>
      <c r="DK48" s="409"/>
      <c r="DL48" s="409"/>
      <c r="DM48" s="409"/>
      <c r="DN48" s="409"/>
      <c r="DO48" s="409"/>
      <c r="DP48" s="409"/>
      <c r="DQ48" s="409"/>
      <c r="DR48" s="409"/>
      <c r="DS48" s="409"/>
      <c r="DT48" s="409"/>
      <c r="DU48" s="409"/>
      <c r="DV48" s="409"/>
      <c r="DW48" s="409"/>
      <c r="DX48" s="409"/>
      <c r="DY48" s="409"/>
      <c r="DZ48" s="409"/>
      <c r="EA48" s="409"/>
      <c r="EB48" s="409"/>
      <c r="EC48" s="409"/>
      <c r="ED48" s="409"/>
    </row>
    <row r="49" spans="1:134" ht="20.05" customHeight="1">
      <c r="A49" s="61"/>
      <c r="B49" s="1193" t="s">
        <v>35</v>
      </c>
      <c r="C49" s="957"/>
      <c r="D49" s="957"/>
      <c r="E49" s="957"/>
      <c r="F49" s="957"/>
      <c r="G49" s="957"/>
      <c r="H49" s="958"/>
      <c r="I49" s="665" t="s">
        <v>33</v>
      </c>
      <c r="J49" s="115"/>
      <c r="K49" s="170" t="s">
        <v>8</v>
      </c>
      <c r="L49" s="659">
        <f>PRIJZEN!C44</f>
        <v>3.95</v>
      </c>
      <c r="M49" s="171" t="s">
        <v>9</v>
      </c>
      <c r="N49" s="990" t="str">
        <f t="shared" si="4"/>
        <v/>
      </c>
      <c r="O49" s="991"/>
      <c r="P49" s="412"/>
      <c r="Q49" s="129" t="str">
        <f t="shared" si="3"/>
        <v/>
      </c>
      <c r="R49" s="135" t="str">
        <f t="shared" si="5"/>
        <v/>
      </c>
      <c r="S49" s="134"/>
      <c r="T49" s="134"/>
      <c r="U49" s="134"/>
      <c r="V49" s="200"/>
      <c r="W49" s="198"/>
      <c r="X49" s="67"/>
      <c r="Y49" s="195"/>
      <c r="Z49" s="199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1"/>
      <c r="AZ49" s="61"/>
      <c r="BA49" s="804" t="s">
        <v>717</v>
      </c>
      <c r="BB49" s="809"/>
      <c r="BC49" s="61"/>
      <c r="BD49" s="61"/>
      <c r="BE49" s="804" t="s">
        <v>718</v>
      </c>
      <c r="BF49" s="202"/>
      <c r="BG49" s="202"/>
      <c r="BH49" s="202" t="s">
        <v>718</v>
      </c>
      <c r="BI49" s="65"/>
      <c r="BJ49" s="65"/>
      <c r="BK49" s="202" t="s">
        <v>718</v>
      </c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409"/>
      <c r="DH49" s="409"/>
      <c r="DI49" s="409"/>
      <c r="DJ49" s="409"/>
      <c r="DK49" s="409"/>
      <c r="DL49" s="409"/>
      <c r="DM49" s="409"/>
      <c r="DN49" s="409"/>
      <c r="DO49" s="409"/>
      <c r="DP49" s="409"/>
      <c r="DQ49" s="409"/>
      <c r="DR49" s="409"/>
      <c r="DS49" s="409"/>
      <c r="DT49" s="409"/>
      <c r="DU49" s="409"/>
      <c r="DV49" s="409"/>
      <c r="DW49" s="409"/>
      <c r="DX49" s="409"/>
      <c r="DY49" s="409"/>
      <c r="DZ49" s="409"/>
      <c r="EA49" s="409"/>
      <c r="EB49" s="409"/>
      <c r="EC49" s="409"/>
      <c r="ED49" s="409"/>
    </row>
    <row r="50" spans="1:134" ht="20.05" customHeight="1">
      <c r="A50" s="61"/>
      <c r="B50" s="1193" t="s">
        <v>36</v>
      </c>
      <c r="C50" s="957"/>
      <c r="D50" s="957"/>
      <c r="E50" s="957"/>
      <c r="F50" s="957"/>
      <c r="G50" s="957"/>
      <c r="H50" s="958"/>
      <c r="I50" s="665" t="s">
        <v>33</v>
      </c>
      <c r="J50" s="115"/>
      <c r="K50" s="170" t="s">
        <v>8</v>
      </c>
      <c r="L50" s="659">
        <f>PRIJZEN!C45</f>
        <v>3.95</v>
      </c>
      <c r="M50" s="171" t="s">
        <v>9</v>
      </c>
      <c r="N50" s="990" t="str">
        <f t="shared" si="4"/>
        <v/>
      </c>
      <c r="O50" s="991"/>
      <c r="P50" s="412"/>
      <c r="Q50" s="129" t="str">
        <f t="shared" si="3"/>
        <v/>
      </c>
      <c r="R50" s="135" t="str">
        <f t="shared" si="5"/>
        <v/>
      </c>
      <c r="S50" s="134"/>
      <c r="T50" s="134"/>
      <c r="U50" s="134"/>
      <c r="V50" s="200"/>
      <c r="W50" s="198"/>
      <c r="X50" s="67"/>
      <c r="Y50" s="195"/>
      <c r="Z50" s="199"/>
      <c r="AA50" s="201"/>
      <c r="AB50" s="65"/>
      <c r="AC50" s="201"/>
      <c r="AD50" s="201"/>
      <c r="AE50" s="202"/>
      <c r="AF50" s="202"/>
      <c r="AG50" s="201"/>
      <c r="AH50" s="202"/>
      <c r="AI50" s="202"/>
      <c r="AJ50" s="201"/>
      <c r="AK50" s="202"/>
      <c r="AL50" s="65"/>
      <c r="AM50" s="65"/>
      <c r="AN50" s="202"/>
      <c r="AO50" s="202"/>
      <c r="AP50" s="202"/>
      <c r="AQ50" s="202"/>
      <c r="AR50" s="202"/>
      <c r="AS50" s="202"/>
      <c r="AT50" s="202"/>
      <c r="AU50" s="202"/>
      <c r="AV50" s="65"/>
      <c r="AW50" s="65"/>
      <c r="AX50" s="65"/>
      <c r="AY50" s="61"/>
      <c r="AZ50" s="61"/>
      <c r="BA50" s="804" t="s">
        <v>718</v>
      </c>
      <c r="BB50" s="809"/>
      <c r="BC50" s="61"/>
      <c r="BD50" s="61"/>
      <c r="BE50" s="804" t="s">
        <v>719</v>
      </c>
      <c r="BF50" s="202"/>
      <c r="BG50" s="202"/>
      <c r="BH50" s="202" t="s">
        <v>719</v>
      </c>
      <c r="BI50" s="65"/>
      <c r="BJ50" s="65"/>
      <c r="BK50" s="202" t="s">
        <v>719</v>
      </c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409"/>
      <c r="DH50" s="409"/>
      <c r="DI50" s="409"/>
      <c r="DJ50" s="409"/>
      <c r="DK50" s="409"/>
      <c r="DL50" s="409"/>
      <c r="DM50" s="409"/>
      <c r="DN50" s="409"/>
      <c r="DO50" s="409"/>
      <c r="DP50" s="409"/>
      <c r="DQ50" s="409"/>
      <c r="DR50" s="409"/>
      <c r="DS50" s="409"/>
      <c r="DT50" s="409"/>
      <c r="DU50" s="409"/>
      <c r="DV50" s="409"/>
      <c r="DW50" s="409"/>
      <c r="DX50" s="409"/>
      <c r="DY50" s="409"/>
      <c r="DZ50" s="409"/>
      <c r="EA50" s="409"/>
      <c r="EB50" s="409"/>
      <c r="EC50" s="409"/>
      <c r="ED50" s="409"/>
    </row>
    <row r="51" spans="1:134" ht="20.05" customHeight="1">
      <c r="A51" s="61"/>
      <c r="B51" s="1193" t="s">
        <v>37</v>
      </c>
      <c r="C51" s="957"/>
      <c r="D51" s="957"/>
      <c r="E51" s="957"/>
      <c r="F51" s="957"/>
      <c r="G51" s="957"/>
      <c r="H51" s="958"/>
      <c r="I51" s="665" t="s">
        <v>33</v>
      </c>
      <c r="J51" s="115"/>
      <c r="K51" s="170" t="s">
        <v>8</v>
      </c>
      <c r="L51" s="659">
        <f>PRIJZEN!C46</f>
        <v>3.95</v>
      </c>
      <c r="M51" s="171" t="s">
        <v>9</v>
      </c>
      <c r="N51" s="990" t="str">
        <f t="shared" si="4"/>
        <v/>
      </c>
      <c r="O51" s="991"/>
      <c r="P51" s="412"/>
      <c r="Q51" s="129" t="str">
        <f t="shared" si="3"/>
        <v/>
      </c>
      <c r="R51" s="135" t="str">
        <f t="shared" si="5"/>
        <v/>
      </c>
      <c r="S51" s="136"/>
      <c r="T51" s="136"/>
      <c r="U51" s="136"/>
      <c r="V51" s="203"/>
      <c r="W51" s="198"/>
      <c r="X51" s="67"/>
      <c r="Y51" s="195"/>
      <c r="Z51" s="199"/>
      <c r="AA51" s="202"/>
      <c r="AB51" s="65"/>
      <c r="AC51" s="202"/>
      <c r="AD51" s="202"/>
      <c r="AE51" s="202"/>
      <c r="AF51" s="202"/>
      <c r="AG51" s="202"/>
      <c r="AH51" s="202"/>
      <c r="AI51" s="202"/>
      <c r="AJ51" s="202"/>
      <c r="AK51" s="202"/>
      <c r="AL51" s="65"/>
      <c r="AM51" s="65"/>
      <c r="AN51" s="202"/>
      <c r="AO51" s="202"/>
      <c r="AP51" s="202"/>
      <c r="AQ51" s="202"/>
      <c r="AR51" s="202"/>
      <c r="AS51" s="202"/>
      <c r="AT51" s="202"/>
      <c r="AU51" s="202"/>
      <c r="AV51" s="65"/>
      <c r="AW51" s="65"/>
      <c r="AX51" s="65"/>
      <c r="AY51" s="61"/>
      <c r="AZ51" s="61"/>
      <c r="BA51" s="804" t="s">
        <v>719</v>
      </c>
      <c r="BB51" s="809"/>
      <c r="BC51" s="61"/>
      <c r="BD51" s="61"/>
      <c r="BE51" s="804" t="s">
        <v>720</v>
      </c>
      <c r="BF51" s="202"/>
      <c r="BG51" s="202"/>
      <c r="BH51" s="202" t="s">
        <v>720</v>
      </c>
      <c r="BI51" s="65"/>
      <c r="BJ51" s="65"/>
      <c r="BK51" s="202" t="s">
        <v>720</v>
      </c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409"/>
      <c r="DH51" s="409"/>
      <c r="DI51" s="409"/>
      <c r="DJ51" s="409"/>
      <c r="DK51" s="409"/>
      <c r="DL51" s="409"/>
      <c r="DM51" s="409"/>
      <c r="DN51" s="409"/>
      <c r="DO51" s="409"/>
      <c r="DP51" s="409"/>
      <c r="DQ51" s="409"/>
      <c r="DR51" s="409"/>
      <c r="DS51" s="409"/>
      <c r="DT51" s="409"/>
      <c r="DU51" s="409"/>
      <c r="DV51" s="409"/>
      <c r="DW51" s="409"/>
      <c r="DX51" s="409"/>
      <c r="DY51" s="409"/>
      <c r="DZ51" s="409"/>
      <c r="EA51" s="409"/>
      <c r="EB51" s="409"/>
      <c r="EC51" s="409"/>
      <c r="ED51" s="409"/>
    </row>
    <row r="52" spans="1:134" ht="20.05" customHeight="1">
      <c r="A52" s="61"/>
      <c r="B52" s="1193" t="s">
        <v>38</v>
      </c>
      <c r="C52" s="957"/>
      <c r="D52" s="957"/>
      <c r="E52" s="957"/>
      <c r="F52" s="957"/>
      <c r="G52" s="957"/>
      <c r="H52" s="958"/>
      <c r="I52" s="665" t="s">
        <v>33</v>
      </c>
      <c r="J52" s="115"/>
      <c r="K52" s="170" t="s">
        <v>8</v>
      </c>
      <c r="L52" s="659">
        <f>PRIJZEN!C47</f>
        <v>3.95</v>
      </c>
      <c r="M52" s="171" t="s">
        <v>9</v>
      </c>
      <c r="N52" s="990" t="str">
        <f t="shared" si="4"/>
        <v/>
      </c>
      <c r="O52" s="991"/>
      <c r="P52" s="412"/>
      <c r="Q52" s="129" t="str">
        <f t="shared" si="3"/>
        <v/>
      </c>
      <c r="R52" s="135" t="str">
        <f t="shared" si="5"/>
        <v/>
      </c>
      <c r="S52" s="134"/>
      <c r="T52" s="134"/>
      <c r="U52" s="134"/>
      <c r="V52" s="200"/>
      <c r="W52" s="198"/>
      <c r="X52" s="67"/>
      <c r="Y52" s="195"/>
      <c r="Z52" s="199"/>
      <c r="AA52" s="202"/>
      <c r="AB52" s="65"/>
      <c r="AC52" s="202"/>
      <c r="AD52" s="202"/>
      <c r="AE52" s="202"/>
      <c r="AF52" s="202"/>
      <c r="AG52" s="202"/>
      <c r="AH52" s="202"/>
      <c r="AI52" s="202"/>
      <c r="AJ52" s="202"/>
      <c r="AK52" s="202"/>
      <c r="AL52" s="65"/>
      <c r="AM52" s="65"/>
      <c r="AN52" s="202"/>
      <c r="AO52" s="202"/>
      <c r="AP52" s="202"/>
      <c r="AQ52" s="202"/>
      <c r="AR52" s="202"/>
      <c r="AS52" s="202"/>
      <c r="AT52" s="202"/>
      <c r="AU52" s="202"/>
      <c r="AV52" s="65"/>
      <c r="AW52" s="65"/>
      <c r="AX52" s="65"/>
      <c r="AY52" s="61"/>
      <c r="AZ52" s="61"/>
      <c r="BA52" s="804" t="s">
        <v>720</v>
      </c>
      <c r="BB52" s="809"/>
      <c r="BC52" s="61"/>
      <c r="BD52" s="61"/>
      <c r="BE52" s="804" t="s">
        <v>68</v>
      </c>
      <c r="BF52" s="202"/>
      <c r="BG52" s="202"/>
      <c r="BH52" s="202" t="s">
        <v>68</v>
      </c>
      <c r="BI52" s="65"/>
      <c r="BJ52" s="65"/>
      <c r="BK52" s="202" t="s">
        <v>68</v>
      </c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409"/>
      <c r="DH52" s="409"/>
      <c r="DI52" s="409"/>
      <c r="DJ52" s="409"/>
      <c r="DK52" s="409"/>
      <c r="DL52" s="409"/>
      <c r="DM52" s="409"/>
      <c r="DN52" s="409"/>
      <c r="DO52" s="409"/>
      <c r="DP52" s="409"/>
      <c r="DQ52" s="409"/>
      <c r="DR52" s="409"/>
      <c r="DS52" s="409"/>
      <c r="DT52" s="409"/>
      <c r="DU52" s="409"/>
      <c r="DV52" s="409"/>
      <c r="DW52" s="409"/>
      <c r="DX52" s="409"/>
      <c r="DY52" s="409"/>
      <c r="DZ52" s="409"/>
      <c r="EA52" s="409"/>
      <c r="EB52" s="409"/>
      <c r="EC52" s="409"/>
      <c r="ED52" s="409"/>
    </row>
    <row r="53" spans="1:134" ht="20.05" customHeight="1">
      <c r="A53" s="61"/>
      <c r="B53" s="1247" t="s">
        <v>39</v>
      </c>
      <c r="C53" s="960"/>
      <c r="D53" s="960"/>
      <c r="E53" s="960"/>
      <c r="F53" s="960"/>
      <c r="G53" s="960"/>
      <c r="H53" s="961"/>
      <c r="I53" s="663" t="s">
        <v>33</v>
      </c>
      <c r="J53" s="112"/>
      <c r="K53" s="170" t="s">
        <v>8</v>
      </c>
      <c r="L53" s="659">
        <f>PRIJZEN!C48</f>
        <v>3.95</v>
      </c>
      <c r="M53" s="168" t="s">
        <v>9</v>
      </c>
      <c r="N53" s="988" t="str">
        <f t="shared" si="4"/>
        <v/>
      </c>
      <c r="O53" s="989"/>
      <c r="P53" s="412"/>
      <c r="Q53" s="129" t="str">
        <f t="shared" si="3"/>
        <v/>
      </c>
      <c r="R53" s="135" t="str">
        <f t="shared" si="5"/>
        <v/>
      </c>
      <c r="S53" s="134"/>
      <c r="T53" s="134"/>
      <c r="U53" s="134"/>
      <c r="V53" s="200"/>
      <c r="W53" s="198"/>
      <c r="X53" s="67"/>
      <c r="Y53" s="195"/>
      <c r="Z53" s="199"/>
      <c r="AA53" s="202"/>
      <c r="AB53" s="65"/>
      <c r="AC53" s="202"/>
      <c r="AD53" s="202"/>
      <c r="AE53" s="202"/>
      <c r="AF53" s="202"/>
      <c r="AG53" s="202"/>
      <c r="AH53" s="202"/>
      <c r="AI53" s="202"/>
      <c r="AJ53" s="202"/>
      <c r="AK53" s="202"/>
      <c r="AL53" s="65"/>
      <c r="AM53" s="65"/>
      <c r="AN53" s="202"/>
      <c r="AO53" s="202"/>
      <c r="AP53" s="202"/>
      <c r="AQ53" s="202"/>
      <c r="AR53" s="202"/>
      <c r="AS53" s="202"/>
      <c r="AT53" s="202"/>
      <c r="AU53" s="202"/>
      <c r="AV53" s="65"/>
      <c r="AW53" s="65"/>
      <c r="AX53" s="65"/>
      <c r="AY53" s="61"/>
      <c r="AZ53" s="61"/>
      <c r="BA53" s="804" t="s">
        <v>68</v>
      </c>
      <c r="BB53" s="809"/>
      <c r="BC53" s="61"/>
      <c r="BD53" s="61"/>
      <c r="BE53" s="804" t="s">
        <v>721</v>
      </c>
      <c r="BF53" s="202"/>
      <c r="BG53" s="202"/>
      <c r="BH53" s="202" t="s">
        <v>721</v>
      </c>
      <c r="BI53" s="205"/>
      <c r="BJ53" s="205"/>
      <c r="BK53" s="202" t="s">
        <v>721</v>
      </c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409"/>
      <c r="DH53" s="409"/>
      <c r="DI53" s="409"/>
      <c r="DJ53" s="409"/>
      <c r="DK53" s="409"/>
      <c r="DL53" s="409"/>
      <c r="DM53" s="409"/>
      <c r="DN53" s="409"/>
      <c r="DO53" s="409"/>
      <c r="DP53" s="409"/>
      <c r="DQ53" s="409"/>
      <c r="DR53" s="409"/>
      <c r="DS53" s="409"/>
      <c r="DT53" s="409"/>
      <c r="DU53" s="409"/>
      <c r="DV53" s="409"/>
      <c r="DW53" s="409"/>
      <c r="DX53" s="409"/>
      <c r="DY53" s="409"/>
      <c r="DZ53" s="409"/>
      <c r="EA53" s="409"/>
      <c r="EB53" s="409"/>
      <c r="EC53" s="409"/>
      <c r="ED53" s="409"/>
    </row>
    <row r="54" spans="1:134" ht="21.9" customHeight="1">
      <c r="A54" s="61"/>
      <c r="B54" s="714" t="s">
        <v>78</v>
      </c>
      <c r="C54" s="1170" t="s">
        <v>428</v>
      </c>
      <c r="D54" s="1171"/>
      <c r="E54" s="1171"/>
      <c r="F54" s="1171"/>
      <c r="G54" s="1171"/>
      <c r="H54" s="1171"/>
      <c r="I54" s="1171"/>
      <c r="J54" s="1171"/>
      <c r="K54" s="1171"/>
      <c r="L54" s="1171"/>
      <c r="M54" s="1171"/>
      <c r="N54" s="1171"/>
      <c r="O54" s="1172"/>
      <c r="P54" s="187"/>
      <c r="Q54" s="125"/>
      <c r="R54" s="577"/>
      <c r="S54" s="134"/>
      <c r="T54" s="134"/>
      <c r="U54" s="134"/>
      <c r="V54" s="200"/>
      <c r="W54" s="198"/>
      <c r="X54" s="67"/>
      <c r="Y54" s="195"/>
      <c r="Z54" s="199"/>
      <c r="AA54" s="202"/>
      <c r="AB54" s="65"/>
      <c r="AC54" s="202"/>
      <c r="AD54" s="202"/>
      <c r="AE54" s="201"/>
      <c r="AF54" s="202"/>
      <c r="AG54" s="202"/>
      <c r="AH54" s="202"/>
      <c r="AI54" s="202"/>
      <c r="AJ54" s="202"/>
      <c r="AK54" s="202"/>
      <c r="AL54" s="65"/>
      <c r="AM54" s="65"/>
      <c r="AN54" s="202"/>
      <c r="AO54" s="202"/>
      <c r="AP54" s="202"/>
      <c r="AQ54" s="202"/>
      <c r="AR54" s="202"/>
      <c r="AS54" s="202"/>
      <c r="AT54" s="202"/>
      <c r="AU54" s="202"/>
      <c r="AV54" s="65"/>
      <c r="AW54" s="65"/>
      <c r="AX54" s="65"/>
      <c r="AY54" s="61"/>
      <c r="AZ54" s="61"/>
      <c r="BA54" s="804" t="s">
        <v>721</v>
      </c>
      <c r="BB54" s="809"/>
      <c r="BC54" s="61"/>
      <c r="BD54" s="61"/>
      <c r="BE54" s="804" t="s">
        <v>722</v>
      </c>
      <c r="BF54" s="205"/>
      <c r="BG54" s="205"/>
      <c r="BH54" s="202" t="s">
        <v>722</v>
      </c>
      <c r="BI54" s="205"/>
      <c r="BJ54" s="205"/>
      <c r="BK54" s="202" t="s">
        <v>722</v>
      </c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409"/>
      <c r="DH54" s="409"/>
      <c r="DI54" s="409"/>
      <c r="DJ54" s="409"/>
      <c r="DK54" s="409"/>
      <c r="DL54" s="409"/>
      <c r="DM54" s="409"/>
      <c r="DN54" s="409"/>
      <c r="DO54" s="409"/>
      <c r="DP54" s="409"/>
      <c r="DQ54" s="409"/>
      <c r="DR54" s="409"/>
      <c r="DS54" s="409"/>
      <c r="DT54" s="409"/>
      <c r="DU54" s="409"/>
      <c r="DV54" s="409"/>
      <c r="DW54" s="409"/>
      <c r="DX54" s="409"/>
      <c r="DY54" s="409"/>
      <c r="DZ54" s="409"/>
      <c r="EA54" s="409"/>
      <c r="EB54" s="409"/>
      <c r="EC54" s="409"/>
      <c r="ED54" s="409"/>
    </row>
    <row r="55" spans="1:134" ht="20.05" customHeight="1">
      <c r="A55" s="61"/>
      <c r="B55" s="1248" t="s">
        <v>528</v>
      </c>
      <c r="C55" s="1249"/>
      <c r="D55" s="1249"/>
      <c r="E55" s="1249"/>
      <c r="F55" s="1249"/>
      <c r="G55" s="1249"/>
      <c r="H55" s="1250"/>
      <c r="I55" s="721" t="s">
        <v>40</v>
      </c>
      <c r="J55" s="113"/>
      <c r="K55" s="170"/>
      <c r="L55" s="143"/>
      <c r="M55" s="722" t="s">
        <v>9</v>
      </c>
      <c r="N55" s="1183" t="str">
        <f>IF(SUM($Q$55:$V$55)&gt;0,SUM($Q$55:$V$55),"")</f>
        <v/>
      </c>
      <c r="O55" s="1184"/>
      <c r="P55" s="412"/>
      <c r="Q55" s="129">
        <f>IF($J$55=1,PRIJZEN!C49,0)</f>
        <v>0</v>
      </c>
      <c r="R55" s="127">
        <f>IF($J$55=2,PRIJZEN!C50,0)</f>
        <v>0</v>
      </c>
      <c r="S55" s="134">
        <f>IF($J$55&gt;=3,PRIJZEN!C51,0)</f>
        <v>0</v>
      </c>
      <c r="T55" s="134"/>
      <c r="U55" s="134"/>
      <c r="V55" s="204"/>
      <c r="W55" s="198"/>
      <c r="X55" s="67"/>
      <c r="Y55" s="195"/>
      <c r="Z55" s="199"/>
      <c r="AA55" s="202"/>
      <c r="AB55" s="65"/>
      <c r="AC55" s="202"/>
      <c r="AD55" s="202"/>
      <c r="AE55" s="202"/>
      <c r="AF55" s="202"/>
      <c r="AG55" s="202"/>
      <c r="AH55" s="202"/>
      <c r="AI55" s="202"/>
      <c r="AJ55" s="202"/>
      <c r="AK55" s="202"/>
      <c r="AL55" s="65"/>
      <c r="AM55" s="65"/>
      <c r="AN55" s="202"/>
      <c r="AO55" s="202"/>
      <c r="AP55" s="202"/>
      <c r="AQ55" s="202"/>
      <c r="AR55" s="202"/>
      <c r="AS55" s="202"/>
      <c r="AT55" s="202"/>
      <c r="AU55" s="202"/>
      <c r="AV55" s="65"/>
      <c r="AW55" s="65"/>
      <c r="AX55" s="65"/>
      <c r="AY55" s="61"/>
      <c r="AZ55" s="61"/>
      <c r="BA55" s="804" t="s">
        <v>722</v>
      </c>
      <c r="BB55" s="809"/>
      <c r="BC55" s="61"/>
      <c r="BD55" s="61"/>
      <c r="BE55" s="61" t="s">
        <v>93</v>
      </c>
      <c r="BF55" s="65"/>
      <c r="BG55" s="65"/>
      <c r="BH55" s="65" t="s">
        <v>93</v>
      </c>
      <c r="BI55" s="65"/>
      <c r="BJ55" s="65"/>
      <c r="BK55" s="65" t="s">
        <v>93</v>
      </c>
      <c r="BL55" s="20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409"/>
      <c r="DH55" s="409"/>
      <c r="DI55" s="409"/>
      <c r="DJ55" s="409"/>
      <c r="DK55" s="409"/>
      <c r="DL55" s="409"/>
      <c r="DM55" s="409"/>
      <c r="DN55" s="409"/>
      <c r="DO55" s="409"/>
      <c r="DP55" s="409"/>
      <c r="DQ55" s="409"/>
      <c r="DR55" s="409"/>
      <c r="DS55" s="409"/>
      <c r="DT55" s="409"/>
      <c r="DU55" s="409"/>
      <c r="DV55" s="409"/>
      <c r="DW55" s="409"/>
      <c r="DX55" s="409"/>
      <c r="DY55" s="409"/>
      <c r="DZ55" s="409"/>
      <c r="EA55" s="409"/>
      <c r="EB55" s="409"/>
      <c r="EC55" s="409"/>
      <c r="ED55" s="409"/>
    </row>
    <row r="56" spans="1:134" ht="21.9" customHeight="1">
      <c r="A56" s="61"/>
      <c r="B56" s="714" t="s">
        <v>79</v>
      </c>
      <c r="C56" s="1170" t="s">
        <v>45</v>
      </c>
      <c r="D56" s="1171"/>
      <c r="E56" s="1171"/>
      <c r="F56" s="1171"/>
      <c r="G56" s="1171"/>
      <c r="H56" s="1171"/>
      <c r="I56" s="1171"/>
      <c r="J56" s="1171"/>
      <c r="K56" s="1171"/>
      <c r="L56" s="1171"/>
      <c r="M56" s="1171"/>
      <c r="N56" s="1171"/>
      <c r="O56" s="1172"/>
      <c r="P56" s="187"/>
      <c r="Q56" s="129"/>
      <c r="R56" s="127"/>
      <c r="S56" s="134"/>
      <c r="T56" s="134"/>
      <c r="U56" s="134"/>
      <c r="V56" s="204"/>
      <c r="W56" s="198"/>
      <c r="X56" s="67"/>
      <c r="Y56" s="195"/>
      <c r="Z56" s="199"/>
      <c r="AA56" s="202"/>
      <c r="AB56" s="65"/>
      <c r="AC56" s="202"/>
      <c r="AD56" s="202"/>
      <c r="AE56" s="202"/>
      <c r="AF56" s="202"/>
      <c r="AG56" s="202"/>
      <c r="AH56" s="202"/>
      <c r="AI56" s="202"/>
      <c r="AJ56" s="202"/>
      <c r="AK56" s="202"/>
      <c r="AL56" s="65"/>
      <c r="AM56" s="65"/>
      <c r="AN56" s="202"/>
      <c r="AO56" s="202"/>
      <c r="AP56" s="202"/>
      <c r="AQ56" s="202"/>
      <c r="AR56" s="202"/>
      <c r="AS56" s="202"/>
      <c r="AT56" s="202"/>
      <c r="AU56" s="202"/>
      <c r="AV56" s="65"/>
      <c r="AW56" s="65"/>
      <c r="AX56" s="65"/>
      <c r="AY56" s="61"/>
      <c r="AZ56" s="61"/>
      <c r="BA56" s="61" t="s">
        <v>93</v>
      </c>
      <c r="BB56" s="809"/>
      <c r="BC56" s="61"/>
      <c r="BD56" s="61"/>
      <c r="BE56" s="61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409"/>
      <c r="DH56" s="409"/>
      <c r="DI56" s="409"/>
      <c r="DJ56" s="409"/>
      <c r="DK56" s="409"/>
      <c r="DL56" s="409"/>
      <c r="DM56" s="409"/>
      <c r="DN56" s="409"/>
      <c r="DO56" s="409"/>
      <c r="DP56" s="409"/>
      <c r="DQ56" s="409"/>
      <c r="DR56" s="409"/>
      <c r="DS56" s="409"/>
      <c r="DT56" s="409"/>
      <c r="DU56" s="409"/>
      <c r="DV56" s="409"/>
      <c r="DW56" s="409"/>
      <c r="DX56" s="409"/>
      <c r="DY56" s="409"/>
      <c r="DZ56" s="409"/>
      <c r="EA56" s="409"/>
      <c r="EB56" s="409"/>
      <c r="EC56" s="409"/>
      <c r="ED56" s="409"/>
    </row>
    <row r="57" spans="1:134" ht="20.05" customHeight="1">
      <c r="A57" s="61"/>
      <c r="B57" s="1202" t="s">
        <v>472</v>
      </c>
      <c r="C57" s="1203"/>
      <c r="D57" s="1203"/>
      <c r="E57" s="1203"/>
      <c r="F57" s="1203"/>
      <c r="G57" s="1203"/>
      <c r="H57" s="1204"/>
      <c r="I57" s="664" t="s">
        <v>46</v>
      </c>
      <c r="J57" s="62"/>
      <c r="K57" s="170" t="s">
        <v>8</v>
      </c>
      <c r="L57" s="720">
        <f>PRIJZEN!C52</f>
        <v>3.5</v>
      </c>
      <c r="M57" s="166" t="s">
        <v>9</v>
      </c>
      <c r="N57" s="1221" t="str">
        <f>IF(Q57="Minimaal 6 bakjes!","minimaal 6 bakjes!",R57)</f>
        <v/>
      </c>
      <c r="O57" s="1222"/>
      <c r="P57" s="412"/>
      <c r="Q57" s="129" t="str">
        <f>IF(AND($J57&gt;0,$J57&lt;6),"minimaal 6 bakjes!",$R57)</f>
        <v/>
      </c>
      <c r="R57" s="127" t="str">
        <f>IF($J57="","",$J57*$L57)</f>
        <v/>
      </c>
      <c r="S57" s="134"/>
      <c r="T57" s="134"/>
      <c r="U57" s="134"/>
      <c r="V57" s="204"/>
      <c r="W57" s="198"/>
      <c r="X57" s="67"/>
      <c r="Y57" s="195"/>
      <c r="Z57" s="199"/>
      <c r="AA57" s="202"/>
      <c r="AB57" s="65"/>
      <c r="AC57" s="202"/>
      <c r="AD57" s="202"/>
      <c r="AE57" s="202"/>
      <c r="AF57" s="202"/>
      <c r="AG57" s="202"/>
      <c r="AH57" s="202"/>
      <c r="AI57" s="202"/>
      <c r="AJ57" s="202"/>
      <c r="AK57" s="202"/>
      <c r="AL57" s="65"/>
      <c r="AM57" s="65"/>
      <c r="AN57" s="202"/>
      <c r="AO57" s="202"/>
      <c r="AP57" s="202"/>
      <c r="AQ57" s="202"/>
      <c r="AR57" s="202"/>
      <c r="AS57" s="202"/>
      <c r="AT57" s="202"/>
      <c r="AU57" s="202"/>
      <c r="AV57" s="65"/>
      <c r="AW57" s="65"/>
      <c r="AX57" s="65"/>
      <c r="AY57" s="61"/>
      <c r="AZ57" s="61"/>
      <c r="BA57" s="61"/>
      <c r="BB57" s="809"/>
      <c r="BC57" s="61"/>
      <c r="BD57" s="61"/>
      <c r="BE57" s="809"/>
      <c r="BF57" s="206"/>
      <c r="BG57" s="206"/>
      <c r="BH57" s="67"/>
      <c r="BI57" s="65"/>
      <c r="BJ57" s="65"/>
      <c r="BK57" s="67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409"/>
      <c r="DH57" s="409"/>
      <c r="DI57" s="409"/>
      <c r="DJ57" s="409"/>
      <c r="DK57" s="409"/>
      <c r="DL57" s="409"/>
      <c r="DM57" s="409"/>
      <c r="DN57" s="409"/>
      <c r="DO57" s="409"/>
      <c r="DP57" s="409"/>
      <c r="DQ57" s="409"/>
      <c r="DR57" s="409"/>
      <c r="DS57" s="409"/>
      <c r="DT57" s="409"/>
      <c r="DU57" s="409"/>
      <c r="DV57" s="409"/>
      <c r="DW57" s="409"/>
      <c r="DX57" s="409"/>
      <c r="DY57" s="409"/>
      <c r="DZ57" s="409"/>
      <c r="EA57" s="409"/>
      <c r="EB57" s="409"/>
      <c r="EC57" s="409"/>
      <c r="ED57" s="409"/>
    </row>
    <row r="58" spans="1:134" ht="20.05" customHeight="1">
      <c r="A58" s="61"/>
      <c r="B58" s="1187" t="s">
        <v>43</v>
      </c>
      <c r="C58" s="1188"/>
      <c r="D58" s="1188"/>
      <c r="E58" s="1188"/>
      <c r="F58" s="1188"/>
      <c r="G58" s="1188"/>
      <c r="H58" s="1189"/>
      <c r="I58" s="665" t="s">
        <v>50</v>
      </c>
      <c r="J58" s="116"/>
      <c r="K58" s="170" t="s">
        <v>8</v>
      </c>
      <c r="L58" s="652">
        <f>PRIJZEN!C53</f>
        <v>45.35</v>
      </c>
      <c r="M58" s="184" t="s">
        <v>9</v>
      </c>
      <c r="N58" s="990" t="str">
        <f>IF(J58="","",SUM(J58*L58))</f>
        <v/>
      </c>
      <c r="O58" s="991"/>
      <c r="P58" s="412"/>
      <c r="Q58" s="132"/>
      <c r="R58" s="132"/>
      <c r="S58" s="134"/>
      <c r="T58" s="134"/>
      <c r="U58" s="134"/>
      <c r="V58" s="65" t="s">
        <v>95</v>
      </c>
      <c r="W58" s="65"/>
      <c r="X58" s="65"/>
      <c r="Y58" s="65"/>
      <c r="Z58" s="199"/>
      <c r="AA58" s="202"/>
      <c r="AB58" s="65"/>
      <c r="AC58" s="202"/>
      <c r="AD58" s="202"/>
      <c r="AE58" s="202"/>
      <c r="AF58" s="202"/>
      <c r="AG58" s="202"/>
      <c r="AH58" s="202"/>
      <c r="AI58" s="202"/>
      <c r="AJ58" s="202"/>
      <c r="AK58" s="202"/>
      <c r="AL58" s="65"/>
      <c r="AM58" s="65"/>
      <c r="AN58" s="202"/>
      <c r="AO58" s="202"/>
      <c r="AP58" s="202"/>
      <c r="AQ58" s="202"/>
      <c r="AR58" s="202"/>
      <c r="AS58" s="202"/>
      <c r="AT58" s="202"/>
      <c r="AU58" s="202"/>
      <c r="AV58" s="65"/>
      <c r="AW58" s="65"/>
      <c r="AX58" s="65"/>
      <c r="AY58" s="61"/>
      <c r="AZ58" s="61"/>
      <c r="BA58" s="803"/>
      <c r="BB58" s="61"/>
      <c r="BC58" s="61"/>
      <c r="BD58" s="61"/>
      <c r="BE58" s="803"/>
      <c r="BF58" s="65"/>
      <c r="BG58" s="65"/>
      <c r="BH58" s="201"/>
      <c r="BI58" s="65"/>
      <c r="BJ58" s="65"/>
      <c r="BK58" s="201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409"/>
      <c r="DH58" s="409"/>
      <c r="DI58" s="409"/>
      <c r="DJ58" s="409"/>
      <c r="DK58" s="409"/>
      <c r="DL58" s="409"/>
      <c r="DM58" s="409"/>
      <c r="DN58" s="409"/>
      <c r="DO58" s="409"/>
      <c r="DP58" s="409"/>
      <c r="DQ58" s="409"/>
      <c r="DR58" s="409"/>
      <c r="DS58" s="409"/>
      <c r="DT58" s="409"/>
      <c r="DU58" s="409"/>
      <c r="DV58" s="409"/>
      <c r="DW58" s="409"/>
      <c r="DX58" s="409"/>
      <c r="DY58" s="409"/>
      <c r="DZ58" s="409"/>
      <c r="EA58" s="409"/>
      <c r="EB58" s="409"/>
      <c r="EC58" s="409"/>
      <c r="ED58" s="409"/>
    </row>
    <row r="59" spans="1:134" ht="20.05" customHeight="1">
      <c r="A59" s="61"/>
      <c r="B59" s="1205" t="s">
        <v>49</v>
      </c>
      <c r="C59" s="1206"/>
      <c r="D59" s="1206"/>
      <c r="E59" s="1206"/>
      <c r="F59" s="1206"/>
      <c r="G59" s="1206"/>
      <c r="H59" s="1207"/>
      <c r="I59" s="666" t="s">
        <v>50</v>
      </c>
      <c r="J59" s="124"/>
      <c r="K59" s="170" t="s">
        <v>8</v>
      </c>
      <c r="L59" s="659">
        <f>PRIJZEN!C54</f>
        <v>45.35</v>
      </c>
      <c r="M59" s="171" t="s">
        <v>9</v>
      </c>
      <c r="N59" s="990" t="str">
        <f>IF(J59="","",SUM(J59*L59))</f>
        <v/>
      </c>
      <c r="O59" s="991"/>
      <c r="P59" s="412"/>
      <c r="Q59" s="132"/>
      <c r="R59" s="132"/>
      <c r="S59" s="134"/>
      <c r="T59" s="134"/>
      <c r="U59" s="134"/>
      <c r="V59" s="65"/>
      <c r="W59" s="65"/>
      <c r="X59" s="65"/>
      <c r="Y59" s="65"/>
      <c r="Z59" s="199"/>
      <c r="AA59" s="202"/>
      <c r="AB59" s="65"/>
      <c r="AC59" s="202"/>
      <c r="AD59" s="202"/>
      <c r="AE59" s="202"/>
      <c r="AF59" s="202"/>
      <c r="AG59" s="202"/>
      <c r="AH59" s="202"/>
      <c r="AI59" s="202"/>
      <c r="AJ59" s="202"/>
      <c r="AK59" s="202"/>
      <c r="AL59" s="65"/>
      <c r="AM59" s="65"/>
      <c r="AN59" s="202"/>
      <c r="AO59" s="202"/>
      <c r="AP59" s="202"/>
      <c r="AQ59" s="202"/>
      <c r="AR59" s="202"/>
      <c r="AS59" s="202"/>
      <c r="AT59" s="202"/>
      <c r="AU59" s="202"/>
      <c r="AV59" s="65"/>
      <c r="AW59" s="65"/>
      <c r="AX59" s="65"/>
      <c r="AY59" s="61"/>
      <c r="AZ59" s="61"/>
      <c r="BA59" s="804"/>
      <c r="BB59" s="61"/>
      <c r="BC59" s="61"/>
      <c r="BD59" s="61"/>
      <c r="BE59" s="805"/>
      <c r="BF59" s="65"/>
      <c r="BG59" s="65"/>
      <c r="BH59" s="205"/>
      <c r="BI59" s="65"/>
      <c r="BJ59" s="65"/>
      <c r="BK59" s="20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409"/>
      <c r="DH59" s="409"/>
      <c r="DI59" s="409"/>
      <c r="DJ59" s="409"/>
      <c r="DK59" s="409"/>
      <c r="DL59" s="409"/>
      <c r="DM59" s="409"/>
      <c r="DN59" s="409"/>
      <c r="DO59" s="409"/>
      <c r="DP59" s="409"/>
      <c r="DQ59" s="409"/>
      <c r="DR59" s="409"/>
      <c r="DS59" s="409"/>
      <c r="DT59" s="409"/>
      <c r="DU59" s="409"/>
      <c r="DV59" s="409"/>
      <c r="DW59" s="409"/>
      <c r="DX59" s="409"/>
      <c r="DY59" s="409"/>
      <c r="DZ59" s="409"/>
      <c r="EA59" s="409"/>
      <c r="EB59" s="409"/>
      <c r="EC59" s="409"/>
      <c r="ED59" s="409"/>
    </row>
    <row r="60" spans="1:134" ht="21.9" customHeight="1">
      <c r="A60" s="61"/>
      <c r="B60" s="714" t="s">
        <v>80</v>
      </c>
      <c r="C60" s="1170" t="s">
        <v>30</v>
      </c>
      <c r="D60" s="1171"/>
      <c r="E60" s="1171"/>
      <c r="F60" s="1171"/>
      <c r="G60" s="1171"/>
      <c r="H60" s="1171"/>
      <c r="I60" s="1171"/>
      <c r="J60" s="1171"/>
      <c r="K60" s="1171"/>
      <c r="L60" s="1171"/>
      <c r="M60" s="1171"/>
      <c r="N60" s="1171"/>
      <c r="O60" s="1172"/>
      <c r="P60" s="187"/>
      <c r="Q60" s="125"/>
      <c r="R60" s="577"/>
      <c r="S60" s="137"/>
      <c r="T60" s="137"/>
      <c r="U60" s="137"/>
      <c r="V60" s="414" t="s">
        <v>111</v>
      </c>
      <c r="W60" s="65"/>
      <c r="X60" s="65"/>
      <c r="Y60" s="415">
        <f>PRIJZEN!F$7</f>
        <v>27.95</v>
      </c>
      <c r="Z60" s="199"/>
      <c r="AA60" s="202"/>
      <c r="AB60" s="65"/>
      <c r="AC60" s="202"/>
      <c r="AD60" s="202"/>
      <c r="AE60" s="202"/>
      <c r="AF60" s="202"/>
      <c r="AG60" s="202"/>
      <c r="AH60" s="202"/>
      <c r="AI60" s="202"/>
      <c r="AJ60" s="202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65"/>
      <c r="AW60" s="65"/>
      <c r="AX60" s="65"/>
      <c r="AY60" s="61"/>
      <c r="AZ60" s="61"/>
      <c r="BA60" s="805"/>
      <c r="BB60" s="61"/>
      <c r="BC60" s="61"/>
      <c r="BD60" s="61"/>
      <c r="BE60" s="805"/>
      <c r="BF60" s="65"/>
      <c r="BG60" s="65"/>
      <c r="BH60" s="205"/>
      <c r="BI60" s="65"/>
      <c r="BJ60" s="65"/>
      <c r="BK60" s="20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409"/>
      <c r="DH60" s="409"/>
      <c r="DI60" s="409"/>
      <c r="DJ60" s="409"/>
      <c r="DK60" s="409"/>
      <c r="DL60" s="409"/>
      <c r="DM60" s="409"/>
      <c r="DN60" s="409"/>
      <c r="DO60" s="409"/>
      <c r="DP60" s="409"/>
      <c r="DQ60" s="409"/>
      <c r="DR60" s="409"/>
      <c r="DS60" s="409"/>
      <c r="DT60" s="409"/>
      <c r="DU60" s="409"/>
      <c r="DV60" s="409"/>
      <c r="DW60" s="409"/>
      <c r="DX60" s="409"/>
      <c r="DY60" s="409"/>
      <c r="DZ60" s="409"/>
      <c r="EA60" s="409"/>
      <c r="EB60" s="409"/>
      <c r="EC60" s="409"/>
      <c r="ED60" s="409"/>
    </row>
    <row r="61" spans="1:134" ht="20.05" customHeight="1">
      <c r="A61" s="61"/>
      <c r="B61" s="1202" t="s">
        <v>41</v>
      </c>
      <c r="C61" s="1203"/>
      <c r="D61" s="1203"/>
      <c r="E61" s="1203"/>
      <c r="F61" s="1203"/>
      <c r="G61" s="1203"/>
      <c r="H61" s="1204"/>
      <c r="I61" s="664" t="s">
        <v>31</v>
      </c>
      <c r="J61" s="113"/>
      <c r="K61" s="170" t="s">
        <v>8</v>
      </c>
      <c r="L61" s="651">
        <f>PRIJZEN!C55</f>
        <v>1</v>
      </c>
      <c r="M61" s="166" t="s">
        <v>9</v>
      </c>
      <c r="N61" s="990" t="str">
        <f>IF($Q$61="Minimaal 6 personen!","minimaal 6 personen!",$R$61)</f>
        <v/>
      </c>
      <c r="O61" s="991"/>
      <c r="P61" s="412"/>
      <c r="Q61" s="129" t="str">
        <f>IF(AND($J61&gt;0,$J61&lt;6),"minimaal 6 personen!",$R61)</f>
        <v/>
      </c>
      <c r="R61" s="127" t="str">
        <f>IF($J61="","",$J61*$L61)</f>
        <v/>
      </c>
      <c r="S61" s="137"/>
      <c r="T61" s="137"/>
      <c r="U61" s="137"/>
      <c r="V61" s="414" t="s">
        <v>102</v>
      </c>
      <c r="W61" s="65"/>
      <c r="X61" s="65"/>
      <c r="Y61" s="415">
        <f>PRIJZEN!$F$5</f>
        <v>74.95</v>
      </c>
      <c r="Z61" s="199"/>
      <c r="AA61" s="202"/>
      <c r="AB61" s="65"/>
      <c r="AC61" s="205"/>
      <c r="AD61" s="205"/>
      <c r="AE61" s="65"/>
      <c r="AF61" s="65"/>
      <c r="AG61" s="205"/>
      <c r="AH61" s="205"/>
      <c r="AI61" s="205"/>
      <c r="AJ61" s="202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65"/>
      <c r="AX61" s="65"/>
      <c r="AY61" s="61"/>
      <c r="AZ61" s="61"/>
      <c r="BA61" s="805"/>
      <c r="BB61" s="61"/>
      <c r="BC61" s="61"/>
      <c r="BD61" s="61"/>
      <c r="BE61" s="805"/>
      <c r="BF61" s="65"/>
      <c r="BG61" s="65"/>
      <c r="BH61" s="205"/>
      <c r="BI61" s="65"/>
      <c r="BJ61" s="65"/>
      <c r="BK61" s="20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409"/>
      <c r="DH61" s="409"/>
      <c r="DI61" s="409"/>
      <c r="DJ61" s="409"/>
      <c r="DK61" s="409"/>
      <c r="DL61" s="409"/>
      <c r="DM61" s="409"/>
      <c r="DN61" s="409"/>
      <c r="DO61" s="409"/>
      <c r="DP61" s="409"/>
      <c r="DQ61" s="409"/>
      <c r="DR61" s="409"/>
      <c r="DS61" s="409"/>
      <c r="DT61" s="409"/>
      <c r="DU61" s="409"/>
      <c r="DV61" s="409"/>
      <c r="DW61" s="409"/>
      <c r="DX61" s="409"/>
      <c r="DY61" s="409"/>
      <c r="DZ61" s="409"/>
      <c r="EA61" s="409"/>
      <c r="EB61" s="409"/>
      <c r="EC61" s="409"/>
      <c r="ED61" s="409"/>
    </row>
    <row r="62" spans="1:134" ht="20.05" customHeight="1">
      <c r="A62" s="61"/>
      <c r="B62" s="1193" t="s">
        <v>109</v>
      </c>
      <c r="C62" s="957"/>
      <c r="D62" s="957"/>
      <c r="E62" s="957"/>
      <c r="F62" s="957"/>
      <c r="G62" s="957"/>
      <c r="H62" s="958"/>
      <c r="I62" s="665" t="s">
        <v>31</v>
      </c>
      <c r="J62" s="115"/>
      <c r="K62" s="170" t="s">
        <v>8</v>
      </c>
      <c r="L62" s="659">
        <f>PRIJZEN!C56</f>
        <v>1.35</v>
      </c>
      <c r="M62" s="185" t="s">
        <v>9</v>
      </c>
      <c r="N62" s="990" t="str">
        <f>IF($Q$62="Minimaal 20 personen!","minimaal 20 personen!",$R$62)</f>
        <v/>
      </c>
      <c r="O62" s="991"/>
      <c r="P62" s="412"/>
      <c r="Q62" s="129" t="str">
        <f>IF(AND($J62&gt;0,$J62&lt;20),"minimaal 20 personen!",$R62)</f>
        <v/>
      </c>
      <c r="R62" s="127" t="str">
        <f>IF($J62="","",$J62*$L62)</f>
        <v/>
      </c>
      <c r="S62" s="125"/>
      <c r="T62" s="125"/>
      <c r="U62" s="125"/>
      <c r="V62" s="414" t="s">
        <v>103</v>
      </c>
      <c r="W62" s="65"/>
      <c r="X62" s="65"/>
      <c r="Y62" s="415">
        <f>PRIJZEN!$F$6</f>
        <v>49.95</v>
      </c>
      <c r="Z62" s="196"/>
      <c r="AA62" s="205"/>
      <c r="AB62" s="65"/>
      <c r="AC62" s="205"/>
      <c r="AD62" s="205"/>
      <c r="AE62" s="65"/>
      <c r="AF62" s="6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65"/>
      <c r="AX62" s="65"/>
      <c r="AY62" s="61"/>
      <c r="AZ62" s="61"/>
      <c r="BA62" s="805"/>
      <c r="BB62" s="61"/>
      <c r="BC62" s="61"/>
      <c r="BD62" s="61"/>
      <c r="BE62" s="805"/>
      <c r="BF62" s="65"/>
      <c r="BG62" s="65"/>
      <c r="BH62" s="205"/>
      <c r="BI62" s="65"/>
      <c r="BJ62" s="65"/>
      <c r="BK62" s="20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409"/>
      <c r="DH62" s="409"/>
      <c r="DI62" s="409"/>
      <c r="DJ62" s="409"/>
      <c r="DK62" s="409"/>
      <c r="DL62" s="409"/>
      <c r="DM62" s="409"/>
      <c r="DN62" s="409"/>
      <c r="DO62" s="409"/>
      <c r="DP62" s="409"/>
      <c r="DQ62" s="409"/>
      <c r="DR62" s="409"/>
      <c r="DS62" s="409"/>
      <c r="DT62" s="409"/>
      <c r="DU62" s="409"/>
      <c r="DV62" s="409"/>
      <c r="DW62" s="409"/>
      <c r="DX62" s="409"/>
      <c r="DY62" s="409"/>
      <c r="DZ62" s="409"/>
      <c r="EA62" s="409"/>
      <c r="EB62" s="409"/>
      <c r="EC62" s="409"/>
      <c r="ED62" s="409"/>
    </row>
    <row r="63" spans="1:134" ht="20.05" customHeight="1" thickBot="1">
      <c r="A63" s="61"/>
      <c r="B63" s="1247" t="s">
        <v>110</v>
      </c>
      <c r="C63" s="960"/>
      <c r="D63" s="960"/>
      <c r="E63" s="960"/>
      <c r="F63" s="960"/>
      <c r="G63" s="960"/>
      <c r="H63" s="961"/>
      <c r="I63" s="666" t="s">
        <v>31</v>
      </c>
      <c r="J63" s="112"/>
      <c r="K63" s="170" t="s">
        <v>8</v>
      </c>
      <c r="L63" s="659">
        <f>PRIJZEN!C57</f>
        <v>2</v>
      </c>
      <c r="M63" s="172" t="s">
        <v>9</v>
      </c>
      <c r="N63" s="1200" t="str">
        <f>IF($Q$63="Minimaal 20 personen!","minimaal 20 personen!",$R$63)</f>
        <v/>
      </c>
      <c r="O63" s="1201"/>
      <c r="P63" s="412"/>
      <c r="Q63" s="129" t="str">
        <f>IF(AND($J63&gt;0,$J63&lt;20),"minimaal 20 personen!",$R63)</f>
        <v/>
      </c>
      <c r="R63" s="127" t="str">
        <f>IF($J63="","",$J63*$L63)</f>
        <v/>
      </c>
      <c r="S63" s="125"/>
      <c r="T63" s="125"/>
      <c r="U63" s="125"/>
      <c r="V63" s="65" t="s">
        <v>93</v>
      </c>
      <c r="W63" s="201"/>
      <c r="X63" s="202"/>
      <c r="Y63" s="211"/>
      <c r="Z63" s="65"/>
      <c r="AA63" s="65"/>
      <c r="AB63" s="65"/>
      <c r="AC63" s="65"/>
      <c r="AD63" s="65"/>
      <c r="AE63" s="65"/>
      <c r="AF63" s="65"/>
      <c r="AG63" s="6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65"/>
      <c r="AX63" s="65"/>
      <c r="AY63" s="61"/>
      <c r="AZ63" s="61"/>
      <c r="BA63" s="805"/>
      <c r="BB63" s="61"/>
      <c r="BC63" s="61"/>
      <c r="BD63" s="61"/>
      <c r="BE63" s="805"/>
      <c r="BF63" s="65"/>
      <c r="BG63" s="65"/>
      <c r="BH63" s="205"/>
      <c r="BI63" s="65"/>
      <c r="BJ63" s="65"/>
      <c r="BK63" s="20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409"/>
      <c r="DH63" s="409"/>
      <c r="DI63" s="409"/>
      <c r="DJ63" s="409"/>
      <c r="DK63" s="409"/>
      <c r="DL63" s="409"/>
      <c r="DM63" s="409"/>
      <c r="DN63" s="409"/>
      <c r="DO63" s="409"/>
      <c r="DP63" s="409"/>
      <c r="DQ63" s="409"/>
      <c r="DR63" s="409"/>
      <c r="DS63" s="409"/>
      <c r="DT63" s="409"/>
      <c r="DU63" s="409"/>
      <c r="DV63" s="409"/>
      <c r="DW63" s="409"/>
      <c r="DX63" s="409"/>
      <c r="DY63" s="409"/>
      <c r="DZ63" s="409"/>
      <c r="EA63" s="409"/>
      <c r="EB63" s="409"/>
      <c r="EC63" s="409"/>
      <c r="ED63" s="409"/>
    </row>
    <row r="64" spans="1:134" ht="31.55" customHeight="1">
      <c r="A64" s="640" t="s">
        <v>797</v>
      </c>
      <c r="B64" s="677" t="s">
        <v>81</v>
      </c>
      <c r="C64" s="1251" t="s">
        <v>857</v>
      </c>
      <c r="D64" s="1252"/>
      <c r="E64" s="1252"/>
      <c r="F64" s="1252"/>
      <c r="G64" s="1252"/>
      <c r="H64" s="1252"/>
      <c r="I64" s="1252"/>
      <c r="J64" s="1252"/>
      <c r="K64" s="1252"/>
      <c r="L64" s="1252"/>
      <c r="M64" s="1252"/>
      <c r="N64" s="1252"/>
      <c r="O64" s="1253"/>
      <c r="P64" s="412"/>
      <c r="Q64" s="129"/>
      <c r="R64" s="127"/>
      <c r="S64" s="125"/>
      <c r="T64" s="125"/>
      <c r="U64" s="125"/>
      <c r="V64" s="65"/>
      <c r="W64" s="201"/>
      <c r="X64" s="202"/>
      <c r="Y64" s="211"/>
      <c r="Z64" s="65"/>
      <c r="AA64" s="65"/>
      <c r="AB64" s="65"/>
      <c r="AC64" s="65"/>
      <c r="AD64" s="65"/>
      <c r="AE64" s="65"/>
      <c r="AF64" s="65"/>
      <c r="AG64" s="6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65"/>
      <c r="AX64" s="65"/>
      <c r="AY64" s="61"/>
      <c r="AZ64" s="61"/>
      <c r="BA64" s="805"/>
      <c r="BB64" s="61"/>
      <c r="BC64" s="61"/>
      <c r="BD64" s="61"/>
      <c r="BE64" s="805"/>
      <c r="BF64" s="65"/>
      <c r="BG64" s="65"/>
      <c r="BH64" s="205"/>
      <c r="BI64" s="65"/>
      <c r="BJ64" s="65"/>
      <c r="BK64" s="20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409"/>
      <c r="DH64" s="409"/>
      <c r="DI64" s="409"/>
      <c r="DJ64" s="409"/>
      <c r="DK64" s="409"/>
      <c r="DL64" s="409"/>
      <c r="DM64" s="409"/>
      <c r="DN64" s="409"/>
      <c r="DO64" s="409"/>
      <c r="DP64" s="409"/>
      <c r="DQ64" s="409"/>
      <c r="DR64" s="409"/>
      <c r="DS64" s="409"/>
      <c r="DT64" s="409"/>
      <c r="DU64" s="409"/>
      <c r="DV64" s="409"/>
      <c r="DW64" s="409"/>
      <c r="DX64" s="409"/>
      <c r="DY64" s="409"/>
      <c r="DZ64" s="409"/>
      <c r="EA64" s="409"/>
      <c r="EB64" s="409"/>
      <c r="EC64" s="409"/>
      <c r="ED64" s="409"/>
    </row>
    <row r="65" spans="1:134" ht="23.95" customHeight="1">
      <c r="A65" s="753" t="s">
        <v>808</v>
      </c>
      <c r="B65" s="754"/>
      <c r="C65" s="1027" t="s">
        <v>912</v>
      </c>
      <c r="D65" s="1027"/>
      <c r="E65" s="1027"/>
      <c r="F65" s="1027"/>
      <c r="G65" s="1027"/>
      <c r="H65" s="1027"/>
      <c r="I65" s="1027"/>
      <c r="J65" s="1027"/>
      <c r="K65" s="1027"/>
      <c r="L65" s="1027"/>
      <c r="M65" s="1027"/>
      <c r="N65" s="1027"/>
      <c r="O65" s="1028"/>
      <c r="P65" s="412"/>
      <c r="Q65" s="129"/>
      <c r="R65" s="127"/>
      <c r="S65" s="125"/>
      <c r="T65" s="125"/>
      <c r="U65" s="125"/>
      <c r="V65" s="65"/>
      <c r="W65" s="201"/>
      <c r="X65" s="202"/>
      <c r="Y65" s="211"/>
      <c r="Z65" s="65"/>
      <c r="AA65" s="65"/>
      <c r="AB65" s="65"/>
      <c r="AC65" s="65"/>
      <c r="AD65" s="65"/>
      <c r="AE65" s="65"/>
      <c r="AF65" s="65"/>
      <c r="AG65" s="6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65"/>
      <c r="AX65" s="65"/>
      <c r="AY65" s="61"/>
      <c r="AZ65" s="61"/>
      <c r="BA65" s="805"/>
      <c r="BB65" s="61"/>
      <c r="BC65" s="61"/>
      <c r="BD65" s="61"/>
      <c r="BE65" s="805"/>
      <c r="BF65" s="65"/>
      <c r="BG65" s="65"/>
      <c r="BH65" s="205"/>
      <c r="BI65" s="65"/>
      <c r="BJ65" s="65"/>
      <c r="BK65" s="20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409"/>
      <c r="DH65" s="409"/>
      <c r="DI65" s="409"/>
      <c r="DJ65" s="409"/>
      <c r="DK65" s="409"/>
      <c r="DL65" s="409"/>
      <c r="DM65" s="409"/>
      <c r="DN65" s="409"/>
      <c r="DO65" s="409"/>
      <c r="DP65" s="409"/>
      <c r="DQ65" s="409"/>
      <c r="DR65" s="409"/>
      <c r="DS65" s="409"/>
      <c r="DT65" s="409"/>
      <c r="DU65" s="409"/>
      <c r="DV65" s="409"/>
      <c r="DW65" s="409"/>
      <c r="DX65" s="409"/>
      <c r="DY65" s="409"/>
      <c r="DZ65" s="409"/>
      <c r="EA65" s="409"/>
      <c r="EB65" s="409"/>
      <c r="EC65" s="409"/>
      <c r="ED65" s="409"/>
    </row>
    <row r="66" spans="1:134" ht="20.05" customHeight="1">
      <c r="A66" s="641" t="s">
        <v>798</v>
      </c>
      <c r="B66" s="737" t="s">
        <v>118</v>
      </c>
      <c r="C66" s="950" t="s">
        <v>904</v>
      </c>
      <c r="D66" s="951"/>
      <c r="E66" s="951"/>
      <c r="F66" s="951"/>
      <c r="G66" s="951"/>
      <c r="H66" s="952"/>
      <c r="I66" s="661" t="s">
        <v>765</v>
      </c>
      <c r="J66" s="612"/>
      <c r="K66" s="609" t="s">
        <v>8</v>
      </c>
      <c r="L66" s="659">
        <f>PRIJZEN!T6</f>
        <v>5.95</v>
      </c>
      <c r="M66" s="184" t="s">
        <v>9</v>
      </c>
      <c r="N66" s="988" t="str">
        <f>IF(Q66="Minimaal 6 personen!","minimaal 6 personen!",R66)</f>
        <v/>
      </c>
      <c r="O66" s="989"/>
      <c r="P66" s="412"/>
      <c r="Q66" s="129" t="str">
        <f>IF(AND($J66&gt;0,$J66&lt;6),"minimaal 6 personen!",$R66)</f>
        <v/>
      </c>
      <c r="R66" s="127" t="str">
        <f>IF($J66="","",$J66*$L66)</f>
        <v/>
      </c>
      <c r="S66" s="125"/>
      <c r="T66" s="125"/>
      <c r="U66" s="125"/>
      <c r="V66" s="65"/>
      <c r="W66" s="201"/>
      <c r="X66" s="202"/>
      <c r="Y66" s="211"/>
      <c r="Z66" s="65"/>
      <c r="AA66" s="65"/>
      <c r="AB66" s="65"/>
      <c r="AC66" s="65"/>
      <c r="AD66" s="65"/>
      <c r="AE66" s="65"/>
      <c r="AF66" s="65"/>
      <c r="AG66" s="6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65"/>
      <c r="AX66" s="65"/>
      <c r="AY66" s="61"/>
      <c r="AZ66" s="61"/>
      <c r="BA66" s="805"/>
      <c r="BB66" s="61"/>
      <c r="BC66" s="61"/>
      <c r="BD66" s="61"/>
      <c r="BE66" s="805"/>
      <c r="BF66" s="65"/>
      <c r="BG66" s="65"/>
      <c r="BH66" s="205"/>
      <c r="BI66" s="65"/>
      <c r="BJ66" s="65"/>
      <c r="BK66" s="20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409"/>
      <c r="DH66" s="409"/>
      <c r="DI66" s="409"/>
      <c r="DJ66" s="409"/>
      <c r="DK66" s="409"/>
      <c r="DL66" s="409"/>
      <c r="DM66" s="409"/>
      <c r="DN66" s="409"/>
      <c r="DO66" s="409"/>
      <c r="DP66" s="409"/>
      <c r="DQ66" s="409"/>
      <c r="DR66" s="409"/>
      <c r="DS66" s="409"/>
      <c r="DT66" s="409"/>
      <c r="DU66" s="409"/>
      <c r="DV66" s="409"/>
      <c r="DW66" s="409"/>
      <c r="DX66" s="409"/>
      <c r="DY66" s="409"/>
      <c r="DZ66" s="409"/>
      <c r="EA66" s="409"/>
      <c r="EB66" s="409"/>
      <c r="EC66" s="409"/>
      <c r="ED66" s="409"/>
    </row>
    <row r="67" spans="1:134" ht="20.05" customHeight="1" thickBot="1">
      <c r="A67" s="743" t="s">
        <v>807</v>
      </c>
      <c r="B67" s="744" t="s">
        <v>860</v>
      </c>
      <c r="C67" s="953" t="s">
        <v>905</v>
      </c>
      <c r="D67" s="954"/>
      <c r="E67" s="954"/>
      <c r="F67" s="954"/>
      <c r="G67" s="954"/>
      <c r="H67" s="955"/>
      <c r="I67" s="670" t="s">
        <v>765</v>
      </c>
      <c r="J67" s="613"/>
      <c r="K67" s="609" t="s">
        <v>8</v>
      </c>
      <c r="L67" s="659">
        <f>PRIJZEN!O15</f>
        <v>3.45</v>
      </c>
      <c r="M67" s="184" t="s">
        <v>9</v>
      </c>
      <c r="N67" s="1185" t="str">
        <f>IF(Q67="Minimaal 6 personen!","minimaal 6 personen!",R67)</f>
        <v/>
      </c>
      <c r="O67" s="991"/>
      <c r="P67" s="412"/>
      <c r="Q67" s="129" t="str">
        <f t="shared" ref="Q67:Q69" si="6">IF(AND($J67&gt;0,$J67&lt;6),"minimaal 6 personen!",$R67)</f>
        <v/>
      </c>
      <c r="R67" s="127" t="str">
        <f t="shared" ref="R67:R70" si="7">IF($J67="","",$J67*$L67)</f>
        <v/>
      </c>
      <c r="S67" s="125"/>
      <c r="T67" s="125"/>
      <c r="U67" s="125"/>
      <c r="V67" s="65"/>
      <c r="W67" s="201"/>
      <c r="X67" s="202"/>
      <c r="Y67" s="211"/>
      <c r="Z67" s="65"/>
      <c r="AA67" s="65"/>
      <c r="AB67" s="65"/>
      <c r="AC67" s="65"/>
      <c r="AD67" s="65"/>
      <c r="AE67" s="65"/>
      <c r="AF67" s="65"/>
      <c r="AG67" s="6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65"/>
      <c r="AX67" s="65"/>
      <c r="AY67" s="61"/>
      <c r="AZ67" s="61"/>
      <c r="BA67" s="805"/>
      <c r="BB67" s="61"/>
      <c r="BC67" s="61"/>
      <c r="BD67" s="61"/>
      <c r="BE67" s="805"/>
      <c r="BF67" s="65"/>
      <c r="BG67" s="65"/>
      <c r="BH67" s="205"/>
      <c r="BI67" s="65"/>
      <c r="BJ67" s="65"/>
      <c r="BK67" s="20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409"/>
      <c r="DH67" s="409"/>
      <c r="DI67" s="409"/>
      <c r="DJ67" s="409"/>
      <c r="DK67" s="409"/>
      <c r="DL67" s="409"/>
      <c r="DM67" s="409"/>
      <c r="DN67" s="409"/>
      <c r="DO67" s="409"/>
      <c r="DP67" s="409"/>
      <c r="DQ67" s="409"/>
      <c r="DR67" s="409"/>
      <c r="DS67" s="409"/>
      <c r="DT67" s="409"/>
      <c r="DU67" s="409"/>
      <c r="DV67" s="409"/>
      <c r="DW67" s="409"/>
      <c r="DX67" s="409"/>
      <c r="DY67" s="409"/>
      <c r="DZ67" s="409"/>
      <c r="EA67" s="409"/>
      <c r="EB67" s="409"/>
      <c r="EC67" s="409"/>
      <c r="ED67" s="409"/>
    </row>
    <row r="68" spans="1:134" ht="20.05" customHeight="1">
      <c r="A68" s="742"/>
      <c r="B68" s="737" t="s">
        <v>861</v>
      </c>
      <c r="C68" s="956" t="s">
        <v>906</v>
      </c>
      <c r="D68" s="957"/>
      <c r="E68" s="957"/>
      <c r="F68" s="957"/>
      <c r="G68" s="957"/>
      <c r="H68" s="958"/>
      <c r="I68" s="800" t="s">
        <v>765</v>
      </c>
      <c r="J68" s="608"/>
      <c r="K68" s="609" t="s">
        <v>8</v>
      </c>
      <c r="L68" s="659">
        <f>PRIJZEN!T7</f>
        <v>3.95</v>
      </c>
      <c r="M68" s="184" t="s">
        <v>9</v>
      </c>
      <c r="N68" s="1208" t="str">
        <f t="shared" ref="N68:N69" si="8">IF(Q68="Minimaal 6 personen!","minimaal 6 personen!",R68)</f>
        <v/>
      </c>
      <c r="O68" s="989"/>
      <c r="P68" s="412"/>
      <c r="Q68" s="129" t="str">
        <f t="shared" si="6"/>
        <v/>
      </c>
      <c r="R68" s="127" t="str">
        <f t="shared" si="7"/>
        <v/>
      </c>
      <c r="S68" s="125"/>
      <c r="T68" s="125"/>
      <c r="U68" s="125"/>
      <c r="V68" s="65"/>
      <c r="W68" s="201"/>
      <c r="X68" s="202"/>
      <c r="Y68" s="211"/>
      <c r="Z68" s="65"/>
      <c r="AA68" s="65"/>
      <c r="AB68" s="65"/>
      <c r="AC68" s="65"/>
      <c r="AD68" s="65"/>
      <c r="AE68" s="65"/>
      <c r="AF68" s="65"/>
      <c r="AG68" s="6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65"/>
      <c r="AX68" s="65"/>
      <c r="AY68" s="61"/>
      <c r="AZ68" s="61"/>
      <c r="BA68" s="805"/>
      <c r="BB68" s="61"/>
      <c r="BC68" s="61"/>
      <c r="BD68" s="61"/>
      <c r="BE68" s="805"/>
      <c r="BF68" s="65"/>
      <c r="BG68" s="65"/>
      <c r="BH68" s="205"/>
      <c r="BI68" s="65"/>
      <c r="BJ68" s="65"/>
      <c r="BK68" s="20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409"/>
      <c r="DH68" s="409"/>
      <c r="DI68" s="409"/>
      <c r="DJ68" s="409"/>
      <c r="DK68" s="409"/>
      <c r="DL68" s="409"/>
      <c r="DM68" s="409"/>
      <c r="DN68" s="409"/>
      <c r="DO68" s="409"/>
      <c r="DP68" s="409"/>
      <c r="DQ68" s="409"/>
      <c r="DR68" s="409"/>
      <c r="DS68" s="409"/>
      <c r="DT68" s="409"/>
      <c r="DU68" s="409"/>
      <c r="DV68" s="409"/>
      <c r="DW68" s="409"/>
      <c r="DX68" s="409"/>
      <c r="DY68" s="409"/>
      <c r="DZ68" s="409"/>
      <c r="EA68" s="409"/>
      <c r="EB68" s="409"/>
      <c r="EC68" s="409"/>
      <c r="ED68" s="409"/>
    </row>
    <row r="69" spans="1:134" ht="20.05" customHeight="1">
      <c r="A69" s="63"/>
      <c r="B69" s="737" t="s">
        <v>862</v>
      </c>
      <c r="C69" s="956" t="s">
        <v>907</v>
      </c>
      <c r="D69" s="957"/>
      <c r="E69" s="957"/>
      <c r="F69" s="957"/>
      <c r="G69" s="957"/>
      <c r="H69" s="958"/>
      <c r="I69" s="800" t="s">
        <v>765</v>
      </c>
      <c r="J69" s="608"/>
      <c r="K69" s="609" t="s">
        <v>8</v>
      </c>
      <c r="L69" s="659">
        <f>PRIJZEN!T9</f>
        <v>4.95</v>
      </c>
      <c r="M69" s="184" t="s">
        <v>9</v>
      </c>
      <c r="N69" s="1208" t="str">
        <f t="shared" si="8"/>
        <v/>
      </c>
      <c r="O69" s="989"/>
      <c r="P69" s="412"/>
      <c r="Q69" s="129" t="str">
        <f t="shared" si="6"/>
        <v/>
      </c>
      <c r="R69" s="127" t="str">
        <f t="shared" si="7"/>
        <v/>
      </c>
      <c r="S69" s="125"/>
      <c r="T69" s="125"/>
      <c r="U69" s="125"/>
      <c r="V69" s="65"/>
      <c r="W69" s="201"/>
      <c r="X69" s="202"/>
      <c r="Y69" s="211"/>
      <c r="Z69" s="65"/>
      <c r="AA69" s="65"/>
      <c r="AB69" s="65"/>
      <c r="AC69" s="65"/>
      <c r="AD69" s="65"/>
      <c r="AE69" s="65"/>
      <c r="AF69" s="65"/>
      <c r="AG69" s="6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65"/>
      <c r="AX69" s="65"/>
      <c r="AY69" s="61"/>
      <c r="AZ69" s="61"/>
      <c r="BA69" s="805"/>
      <c r="BB69" s="61"/>
      <c r="BC69" s="61"/>
      <c r="BD69" s="61"/>
      <c r="BE69" s="805"/>
      <c r="BF69" s="65"/>
      <c r="BG69" s="65"/>
      <c r="BH69" s="205"/>
      <c r="BI69" s="65"/>
      <c r="BJ69" s="65"/>
      <c r="BK69" s="20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409"/>
      <c r="DH69" s="409"/>
      <c r="DI69" s="409"/>
      <c r="DJ69" s="409"/>
      <c r="DK69" s="409"/>
      <c r="DL69" s="409"/>
      <c r="DM69" s="409"/>
      <c r="DN69" s="409"/>
      <c r="DO69" s="409"/>
      <c r="DP69" s="409"/>
      <c r="DQ69" s="409"/>
      <c r="DR69" s="409"/>
      <c r="DS69" s="409"/>
      <c r="DT69" s="409"/>
      <c r="DU69" s="409"/>
      <c r="DV69" s="409"/>
      <c r="DW69" s="409"/>
      <c r="DX69" s="409"/>
      <c r="DY69" s="409"/>
      <c r="DZ69" s="409"/>
      <c r="EA69" s="409"/>
      <c r="EB69" s="409"/>
      <c r="EC69" s="409"/>
      <c r="ED69" s="409"/>
    </row>
    <row r="70" spans="1:134" ht="20.05" customHeight="1">
      <c r="A70" s="63"/>
      <c r="B70" s="737"/>
      <c r="C70" s="959" t="s">
        <v>908</v>
      </c>
      <c r="D70" s="960"/>
      <c r="E70" s="960"/>
      <c r="F70" s="960"/>
      <c r="G70" s="960"/>
      <c r="H70" s="961"/>
      <c r="I70" s="661" t="s">
        <v>765</v>
      </c>
      <c r="J70" s="611"/>
      <c r="K70" s="169" t="s">
        <v>8</v>
      </c>
      <c r="L70" s="660">
        <f>PRIJZEN!T10</f>
        <v>3.45</v>
      </c>
      <c r="M70" s="185" t="s">
        <v>9</v>
      </c>
      <c r="N70" s="982" t="str">
        <f>IF(Q70="Minimaal 2 personen!","minimaal 2 personen!",R70)</f>
        <v/>
      </c>
      <c r="O70" s="983"/>
      <c r="P70" s="412"/>
      <c r="Q70" s="129" t="str">
        <f>IF(AND($J70&gt;0,$J70&lt;2),"minimaal 2 personen!",$R70)</f>
        <v/>
      </c>
      <c r="R70" s="127" t="str">
        <f t="shared" si="7"/>
        <v/>
      </c>
      <c r="S70" s="125"/>
      <c r="T70" s="125"/>
      <c r="U70" s="125"/>
      <c r="V70" s="65"/>
      <c r="W70" s="201"/>
      <c r="X70" s="202"/>
      <c r="Y70" s="211"/>
      <c r="Z70" s="65"/>
      <c r="AA70" s="65"/>
      <c r="AB70" s="65"/>
      <c r="AC70" s="65"/>
      <c r="AD70" s="65"/>
      <c r="AE70" s="65"/>
      <c r="AF70" s="65"/>
      <c r="AG70" s="6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65"/>
      <c r="AX70" s="65"/>
      <c r="AY70" s="61"/>
      <c r="AZ70" s="61"/>
      <c r="BA70" s="805"/>
      <c r="BB70" s="61"/>
      <c r="BC70" s="61"/>
      <c r="BD70" s="61"/>
      <c r="BE70" s="805"/>
      <c r="BF70" s="65"/>
      <c r="BG70" s="65"/>
      <c r="BH70" s="205"/>
      <c r="BI70" s="65"/>
      <c r="BJ70" s="65"/>
      <c r="BK70" s="20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409"/>
      <c r="DH70" s="409"/>
      <c r="DI70" s="409"/>
      <c r="DJ70" s="409"/>
      <c r="DK70" s="409"/>
      <c r="DL70" s="409"/>
      <c r="DM70" s="409"/>
      <c r="DN70" s="409"/>
      <c r="DO70" s="409"/>
      <c r="DP70" s="409"/>
      <c r="DQ70" s="409"/>
      <c r="DR70" s="409"/>
      <c r="DS70" s="409"/>
      <c r="DT70" s="409"/>
      <c r="DU70" s="409"/>
      <c r="DV70" s="409"/>
      <c r="DW70" s="409"/>
      <c r="DX70" s="409"/>
      <c r="DY70" s="409"/>
      <c r="DZ70" s="409"/>
      <c r="EA70" s="409"/>
      <c r="EB70" s="409"/>
      <c r="EC70" s="409"/>
      <c r="ED70" s="409"/>
    </row>
    <row r="71" spans="1:134" ht="23.95" customHeight="1">
      <c r="A71" s="63"/>
      <c r="B71" s="750"/>
      <c r="C71" s="984" t="s">
        <v>913</v>
      </c>
      <c r="D71" s="984"/>
      <c r="E71" s="984"/>
      <c r="F71" s="984"/>
      <c r="G71" s="984"/>
      <c r="H71" s="984"/>
      <c r="I71" s="984"/>
      <c r="J71" s="984"/>
      <c r="K71" s="984"/>
      <c r="L71" s="984"/>
      <c r="M71" s="984"/>
      <c r="N71" s="984"/>
      <c r="O71" s="985"/>
      <c r="P71" s="412"/>
      <c r="Q71" s="129"/>
      <c r="R71" s="127"/>
      <c r="S71" s="125"/>
      <c r="T71" s="125"/>
      <c r="U71" s="125"/>
      <c r="V71" s="65"/>
      <c r="W71" s="201"/>
      <c r="X71" s="202"/>
      <c r="Y71" s="211"/>
      <c r="Z71" s="65"/>
      <c r="AA71" s="65"/>
      <c r="AB71" s="65"/>
      <c r="AC71" s="65"/>
      <c r="AD71" s="65"/>
      <c r="AE71" s="65"/>
      <c r="AF71" s="65"/>
      <c r="AG71" s="6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65"/>
      <c r="AX71" s="65"/>
      <c r="AY71" s="61"/>
      <c r="AZ71" s="61"/>
      <c r="BA71" s="805"/>
      <c r="BB71" s="61"/>
      <c r="BC71" s="61"/>
      <c r="BD71" s="61"/>
      <c r="BE71" s="805"/>
      <c r="BF71" s="65"/>
      <c r="BG71" s="65"/>
      <c r="BH71" s="205"/>
      <c r="BI71" s="65"/>
      <c r="BJ71" s="65"/>
      <c r="BK71" s="20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409"/>
      <c r="DH71" s="409"/>
      <c r="DI71" s="409"/>
      <c r="DJ71" s="409"/>
      <c r="DK71" s="409"/>
      <c r="DL71" s="409"/>
      <c r="DM71" s="409"/>
      <c r="DN71" s="409"/>
      <c r="DO71" s="409"/>
      <c r="DP71" s="409"/>
      <c r="DQ71" s="409"/>
      <c r="DR71" s="409"/>
      <c r="DS71" s="409"/>
      <c r="DT71" s="409"/>
      <c r="DU71" s="409"/>
      <c r="DV71" s="409"/>
      <c r="DW71" s="409"/>
      <c r="DX71" s="409"/>
      <c r="DY71" s="409"/>
      <c r="DZ71" s="409"/>
      <c r="EA71" s="409"/>
      <c r="EB71" s="409"/>
      <c r="EC71" s="409"/>
      <c r="ED71" s="409"/>
    </row>
    <row r="72" spans="1:134" ht="20.05" customHeight="1">
      <c r="A72" s="63"/>
      <c r="B72" s="737" t="s">
        <v>118</v>
      </c>
      <c r="C72" s="980" t="s">
        <v>910</v>
      </c>
      <c r="D72" s="980"/>
      <c r="E72" s="980"/>
      <c r="F72" s="980"/>
      <c r="G72" s="980"/>
      <c r="H72" s="981"/>
      <c r="I72" s="752" t="s">
        <v>765</v>
      </c>
      <c r="J72" s="612"/>
      <c r="K72" s="609" t="s">
        <v>8</v>
      </c>
      <c r="L72" s="659">
        <f>PRIJZEN!T12</f>
        <v>1.5</v>
      </c>
      <c r="M72" s="184" t="s">
        <v>9</v>
      </c>
      <c r="N72" s="988" t="str">
        <f>IF(Q72="Minimaal 6 personen!","minimaal 6 personen!",R72)</f>
        <v/>
      </c>
      <c r="O72" s="989"/>
      <c r="P72" s="412"/>
      <c r="Q72" s="129" t="str">
        <f>IF(AND($J72&gt;0,$J72&lt;6),"minimaal 6 personen!",$R72)</f>
        <v/>
      </c>
      <c r="R72" s="127" t="str">
        <f>IF($J72="","",$J72*$L72)</f>
        <v/>
      </c>
      <c r="S72" s="125"/>
      <c r="T72" s="125"/>
      <c r="U72" s="125"/>
      <c r="V72" s="65"/>
      <c r="W72" s="201"/>
      <c r="X72" s="202"/>
      <c r="Y72" s="211"/>
      <c r="Z72" s="65"/>
      <c r="AA72" s="65"/>
      <c r="AB72" s="65"/>
      <c r="AC72" s="65"/>
      <c r="AD72" s="65"/>
      <c r="AE72" s="65"/>
      <c r="AF72" s="65"/>
      <c r="AG72" s="6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65"/>
      <c r="AX72" s="65"/>
      <c r="AY72" s="65"/>
      <c r="AZ72" s="65"/>
      <c r="BA72" s="205"/>
      <c r="BB72" s="65"/>
      <c r="BC72" s="65"/>
      <c r="BD72" s="65"/>
      <c r="BE72" s="205"/>
      <c r="BF72" s="65"/>
      <c r="BG72" s="65"/>
      <c r="BH72" s="205"/>
      <c r="BI72" s="65"/>
      <c r="BJ72" s="65"/>
      <c r="BK72" s="20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409"/>
      <c r="DH72" s="409"/>
      <c r="DI72" s="409"/>
      <c r="DJ72" s="409"/>
      <c r="DK72" s="409"/>
      <c r="DL72" s="409"/>
      <c r="DM72" s="409"/>
      <c r="DN72" s="409"/>
      <c r="DO72" s="409"/>
      <c r="DP72" s="409"/>
      <c r="DQ72" s="409"/>
      <c r="DR72" s="409"/>
      <c r="DS72" s="409"/>
      <c r="DT72" s="409"/>
      <c r="DU72" s="409"/>
      <c r="DV72" s="409"/>
      <c r="DW72" s="409"/>
      <c r="DX72" s="409"/>
      <c r="DY72" s="409"/>
      <c r="DZ72" s="409"/>
      <c r="EA72" s="409"/>
      <c r="EB72" s="409"/>
      <c r="EC72" s="409"/>
      <c r="ED72" s="409"/>
    </row>
    <row r="73" spans="1:134" ht="20.05" customHeight="1">
      <c r="A73" s="63"/>
      <c r="B73" s="737" t="s">
        <v>860</v>
      </c>
      <c r="C73" s="954" t="s">
        <v>909</v>
      </c>
      <c r="D73" s="954"/>
      <c r="E73" s="954"/>
      <c r="F73" s="954"/>
      <c r="G73" s="954"/>
      <c r="H73" s="955"/>
      <c r="I73" s="663" t="s">
        <v>765</v>
      </c>
      <c r="J73" s="608"/>
      <c r="K73" s="609" t="s">
        <v>8</v>
      </c>
      <c r="L73" s="659">
        <f>PRIJZEN!T13</f>
        <v>1.5</v>
      </c>
      <c r="M73" s="184" t="s">
        <v>9</v>
      </c>
      <c r="N73" s="1185" t="str">
        <f>IF(Q73="Minimaal 6 personen!","minimaal 6 personen!",R73)</f>
        <v/>
      </c>
      <c r="O73" s="991"/>
      <c r="P73" s="412"/>
      <c r="Q73" s="129" t="str">
        <f t="shared" ref="Q73:Q74" si="9">IF(AND($J73&gt;0,$J73&lt;6),"minimaal 6 personen!",$R73)</f>
        <v/>
      </c>
      <c r="R73" s="127" t="str">
        <f t="shared" ref="R73:R74" si="10">IF($J73="","",$J73*$L73)</f>
        <v/>
      </c>
      <c r="S73" s="125"/>
      <c r="T73" s="125"/>
      <c r="U73" s="125"/>
      <c r="V73" s="65"/>
      <c r="W73" s="201"/>
      <c r="X73" s="202"/>
      <c r="Y73" s="211"/>
      <c r="Z73" s="65"/>
      <c r="AA73" s="65"/>
      <c r="AB73" s="65"/>
      <c r="AC73" s="65"/>
      <c r="AD73" s="65"/>
      <c r="AE73" s="65"/>
      <c r="AF73" s="65"/>
      <c r="AG73" s="6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65"/>
      <c r="AX73" s="65"/>
      <c r="AY73" s="65"/>
      <c r="AZ73" s="65"/>
      <c r="BA73" s="205"/>
      <c r="BB73" s="65"/>
      <c r="BC73" s="65"/>
      <c r="BD73" s="65"/>
      <c r="BE73" s="205"/>
      <c r="BF73" s="65"/>
      <c r="BG73" s="65"/>
      <c r="BH73" s="205"/>
      <c r="BI73" s="65"/>
      <c r="BJ73" s="65"/>
      <c r="BK73" s="20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409"/>
      <c r="DH73" s="409"/>
      <c r="DI73" s="409"/>
      <c r="DJ73" s="409"/>
      <c r="DK73" s="409"/>
      <c r="DL73" s="409"/>
      <c r="DM73" s="409"/>
      <c r="DN73" s="409"/>
      <c r="DO73" s="409"/>
      <c r="DP73" s="409"/>
      <c r="DQ73" s="409"/>
      <c r="DR73" s="409"/>
      <c r="DS73" s="409"/>
      <c r="DT73" s="409"/>
      <c r="DU73" s="409"/>
      <c r="DV73" s="409"/>
      <c r="DW73" s="409"/>
      <c r="DX73" s="409"/>
      <c r="DY73" s="409"/>
      <c r="DZ73" s="409"/>
      <c r="EA73" s="409"/>
      <c r="EB73" s="409"/>
      <c r="EC73" s="409"/>
      <c r="ED73" s="409"/>
    </row>
    <row r="74" spans="1:134" ht="20.05" customHeight="1" thickBot="1">
      <c r="A74" s="63"/>
      <c r="B74" s="745" t="s">
        <v>863</v>
      </c>
      <c r="C74" s="980" t="s">
        <v>911</v>
      </c>
      <c r="D74" s="980"/>
      <c r="E74" s="980"/>
      <c r="F74" s="980"/>
      <c r="G74" s="980"/>
      <c r="H74" s="981"/>
      <c r="I74" s="661" t="s">
        <v>765</v>
      </c>
      <c r="J74" s="611"/>
      <c r="K74" s="169" t="s">
        <v>8</v>
      </c>
      <c r="L74" s="659">
        <f>PRIJZEN!T14</f>
        <v>1.5</v>
      </c>
      <c r="M74" s="185" t="s">
        <v>9</v>
      </c>
      <c r="N74" s="982" t="str">
        <f t="shared" ref="N74" si="11">IF(Q74="Minimaal 6 personen!","minimaal 6 personen!",R74)</f>
        <v/>
      </c>
      <c r="O74" s="983"/>
      <c r="P74" s="412"/>
      <c r="Q74" s="129" t="str">
        <f t="shared" si="9"/>
        <v/>
      </c>
      <c r="R74" s="127" t="str">
        <f t="shared" si="10"/>
        <v/>
      </c>
      <c r="S74" s="125"/>
      <c r="T74" s="125"/>
      <c r="U74" s="125"/>
      <c r="V74" s="65"/>
      <c r="W74" s="201"/>
      <c r="X74" s="202"/>
      <c r="Y74" s="211"/>
      <c r="Z74" s="65"/>
      <c r="AA74" s="65"/>
      <c r="AB74" s="65"/>
      <c r="AC74" s="65"/>
      <c r="AD74" s="65"/>
      <c r="AE74" s="65"/>
      <c r="AF74" s="65"/>
      <c r="AG74" s="6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65"/>
      <c r="AX74" s="65"/>
      <c r="AY74" s="65"/>
      <c r="AZ74" s="65"/>
      <c r="BA74" s="205"/>
      <c r="BB74" s="65"/>
      <c r="BC74" s="65"/>
      <c r="BD74" s="65"/>
      <c r="BE74" s="205"/>
      <c r="BF74" s="65"/>
      <c r="BG74" s="65"/>
      <c r="BH74" s="205"/>
      <c r="BI74" s="65"/>
      <c r="BJ74" s="65"/>
      <c r="BK74" s="20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409"/>
      <c r="DH74" s="409"/>
      <c r="DI74" s="409"/>
      <c r="DJ74" s="409"/>
      <c r="DK74" s="409"/>
      <c r="DL74" s="409"/>
      <c r="DM74" s="409"/>
      <c r="DN74" s="409"/>
      <c r="DO74" s="409"/>
      <c r="DP74" s="409"/>
      <c r="DQ74" s="409"/>
      <c r="DR74" s="409"/>
      <c r="DS74" s="409"/>
      <c r="DT74" s="409"/>
      <c r="DU74" s="409"/>
      <c r="DV74" s="409"/>
      <c r="DW74" s="409"/>
      <c r="DX74" s="409"/>
      <c r="DY74" s="409"/>
      <c r="DZ74" s="409"/>
      <c r="EA74" s="409"/>
      <c r="EB74" s="409"/>
      <c r="EC74" s="409"/>
      <c r="ED74" s="409"/>
    </row>
    <row r="75" spans="1:134" ht="20.05" customHeight="1">
      <c r="A75" s="63"/>
      <c r="B75" s="974" t="s">
        <v>856</v>
      </c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6"/>
      <c r="P75" s="412"/>
      <c r="Q75" s="129"/>
      <c r="R75" s="127"/>
      <c r="S75" s="125"/>
      <c r="T75" s="125"/>
      <c r="U75" s="125"/>
      <c r="V75" s="65"/>
      <c r="W75" s="201"/>
      <c r="X75" s="202"/>
      <c r="Y75" s="211"/>
      <c r="Z75" s="65"/>
      <c r="AA75" s="65"/>
      <c r="AB75" s="65"/>
      <c r="AC75" s="65"/>
      <c r="AD75" s="65"/>
      <c r="AE75" s="65"/>
      <c r="AF75" s="65"/>
      <c r="AG75" s="6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65"/>
      <c r="AX75" s="65"/>
      <c r="AY75" s="65"/>
      <c r="AZ75" s="65"/>
      <c r="BA75" s="205"/>
      <c r="BB75" s="65"/>
      <c r="BC75" s="65"/>
      <c r="BD75" s="65"/>
      <c r="BE75" s="205"/>
      <c r="BF75" s="65"/>
      <c r="BG75" s="65"/>
      <c r="BH75" s="205"/>
      <c r="BI75" s="65"/>
      <c r="BJ75" s="65"/>
      <c r="BK75" s="20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409"/>
      <c r="DH75" s="409"/>
      <c r="DI75" s="409"/>
      <c r="DJ75" s="409"/>
      <c r="DK75" s="409"/>
      <c r="DL75" s="409"/>
      <c r="DM75" s="409"/>
      <c r="DN75" s="409"/>
      <c r="DO75" s="409"/>
      <c r="DP75" s="409"/>
      <c r="DQ75" s="409"/>
      <c r="DR75" s="409"/>
      <c r="DS75" s="409"/>
      <c r="DT75" s="409"/>
      <c r="DU75" s="409"/>
      <c r="DV75" s="409"/>
      <c r="DW75" s="409"/>
      <c r="DX75" s="409"/>
      <c r="DY75" s="409"/>
      <c r="DZ75" s="409"/>
      <c r="EA75" s="409"/>
      <c r="EB75" s="409"/>
      <c r="EC75" s="409"/>
      <c r="ED75" s="409"/>
    </row>
    <row r="76" spans="1:134" ht="20.05" customHeight="1" thickBot="1">
      <c r="A76" s="63"/>
      <c r="B76" s="977" t="s">
        <v>916</v>
      </c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9"/>
      <c r="P76" s="412"/>
      <c r="Q76" s="129"/>
      <c r="R76" s="127"/>
      <c r="S76" s="125"/>
      <c r="T76" s="125"/>
      <c r="U76" s="125"/>
      <c r="V76" s="65"/>
      <c r="W76" s="201"/>
      <c r="X76" s="202"/>
      <c r="Y76" s="211"/>
      <c r="Z76" s="65"/>
      <c r="AA76" s="65"/>
      <c r="AB76" s="65"/>
      <c r="AC76" s="65"/>
      <c r="AD76" s="65"/>
      <c r="AE76" s="65"/>
      <c r="AF76" s="65"/>
      <c r="AG76" s="6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65"/>
      <c r="AX76" s="65"/>
      <c r="AY76" s="65"/>
      <c r="AZ76" s="65"/>
      <c r="BA76" s="205"/>
      <c r="BB76" s="65"/>
      <c r="BC76" s="65"/>
      <c r="BD76" s="65"/>
      <c r="BE76" s="205"/>
      <c r="BF76" s="65"/>
      <c r="BG76" s="65"/>
      <c r="BH76" s="205"/>
      <c r="BI76" s="65"/>
      <c r="BJ76" s="65"/>
      <c r="BK76" s="20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409"/>
      <c r="DH76" s="409"/>
      <c r="DI76" s="409"/>
      <c r="DJ76" s="409"/>
      <c r="DK76" s="409"/>
      <c r="DL76" s="409"/>
      <c r="DM76" s="409"/>
      <c r="DN76" s="409"/>
      <c r="DO76" s="409"/>
      <c r="DP76" s="409"/>
      <c r="DQ76" s="409"/>
      <c r="DR76" s="409"/>
      <c r="DS76" s="409"/>
      <c r="DT76" s="409"/>
      <c r="DU76" s="409"/>
      <c r="DV76" s="409"/>
      <c r="DW76" s="409"/>
      <c r="DX76" s="409"/>
      <c r="DY76" s="409"/>
      <c r="DZ76" s="409"/>
      <c r="EA76" s="409"/>
      <c r="EB76" s="409"/>
      <c r="EC76" s="409"/>
      <c r="ED76" s="409"/>
    </row>
    <row r="77" spans="1:134" ht="20.05" customHeight="1">
      <c r="A77" s="61"/>
      <c r="B77" s="741" t="s">
        <v>69</v>
      </c>
      <c r="C77" s="962" t="s">
        <v>519</v>
      </c>
      <c r="D77" s="963"/>
      <c r="E77" s="963"/>
      <c r="F77" s="963"/>
      <c r="G77" s="963"/>
      <c r="H77" s="963"/>
      <c r="I77" s="964"/>
      <c r="J77" s="968" t="s">
        <v>319</v>
      </c>
      <c r="K77" s="969"/>
      <c r="L77" s="969"/>
      <c r="M77" s="970"/>
      <c r="N77" s="1212" t="str">
        <f>IF(J77="klik &amp; kies aantal BBQ's ---&gt;","",SUM(J77*PRIJZEN!$O$58))</f>
        <v/>
      </c>
      <c r="O77" s="1213"/>
      <c r="P77" s="412"/>
      <c r="Q77" s="129"/>
      <c r="R77" s="127"/>
      <c r="S77" s="125"/>
      <c r="T77" s="125"/>
      <c r="U77" s="125"/>
      <c r="V77" s="65"/>
      <c r="W77" s="201"/>
      <c r="X77" s="202"/>
      <c r="Y77" s="211"/>
      <c r="Z77" s="65"/>
      <c r="AA77" s="65"/>
      <c r="AB77" s="65"/>
      <c r="AC77" s="65"/>
      <c r="AD77" s="65"/>
      <c r="AE77" s="65"/>
      <c r="AF77" s="65"/>
      <c r="AG77" s="6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65"/>
      <c r="AX77" s="65"/>
      <c r="AY77" s="65"/>
      <c r="AZ77" s="65"/>
      <c r="BA77" s="205"/>
      <c r="BB77" s="65"/>
      <c r="BC77" s="65"/>
      <c r="BD77" s="65"/>
      <c r="BE77" s="205"/>
      <c r="BF77" s="65"/>
      <c r="BG77" s="65"/>
      <c r="BH77" s="205"/>
      <c r="BI77" s="65"/>
      <c r="BJ77" s="65"/>
      <c r="BK77" s="20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409"/>
      <c r="DH77" s="409"/>
      <c r="DI77" s="409"/>
      <c r="DJ77" s="409"/>
      <c r="DK77" s="409"/>
      <c r="DL77" s="409"/>
      <c r="DM77" s="409"/>
      <c r="DN77" s="409"/>
      <c r="DO77" s="409"/>
      <c r="DP77" s="409"/>
      <c r="DQ77" s="409"/>
      <c r="DR77" s="409"/>
      <c r="DS77" s="409"/>
      <c r="DT77" s="409"/>
      <c r="DU77" s="409"/>
      <c r="DV77" s="409"/>
      <c r="DW77" s="409"/>
      <c r="DX77" s="409"/>
      <c r="DY77" s="409"/>
      <c r="DZ77" s="409"/>
      <c r="EA77" s="409"/>
      <c r="EB77" s="409"/>
      <c r="EC77" s="409"/>
      <c r="ED77" s="409"/>
    </row>
    <row r="78" spans="1:134" ht="20.05" customHeight="1">
      <c r="A78" s="61"/>
      <c r="B78" s="751" t="s">
        <v>867</v>
      </c>
      <c r="C78" s="965" t="s">
        <v>519</v>
      </c>
      <c r="D78" s="966"/>
      <c r="E78" s="966"/>
      <c r="F78" s="966"/>
      <c r="G78" s="966"/>
      <c r="H78" s="966"/>
      <c r="I78" s="967"/>
      <c r="J78" s="971" t="s">
        <v>319</v>
      </c>
      <c r="K78" s="972"/>
      <c r="L78" s="972"/>
      <c r="M78" s="973"/>
      <c r="N78" s="1214" t="str">
        <f>IF(J78="klik &amp; kies aantal BBQ's ---&gt;","",SUM(J78*PRIJZEN!$O$59))</f>
        <v/>
      </c>
      <c r="O78" s="1215"/>
      <c r="P78" s="412"/>
      <c r="Q78" s="129"/>
      <c r="R78" s="127"/>
      <c r="S78" s="125"/>
      <c r="T78" s="125"/>
      <c r="U78" s="125"/>
      <c r="V78" s="65"/>
      <c r="W78" s="201"/>
      <c r="X78" s="202"/>
      <c r="Y78" s="211"/>
      <c r="Z78" s="65"/>
      <c r="AA78" s="65"/>
      <c r="AB78" s="65"/>
      <c r="AC78" s="65"/>
      <c r="AD78" s="65"/>
      <c r="AE78" s="65"/>
      <c r="AF78" s="65"/>
      <c r="AG78" s="6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65"/>
      <c r="AX78" s="65"/>
      <c r="AY78" s="65"/>
      <c r="AZ78" s="65"/>
      <c r="BA78" s="205"/>
      <c r="BB78" s="65"/>
      <c r="BC78" s="65"/>
      <c r="BD78" s="65"/>
      <c r="BE78" s="205"/>
      <c r="BF78" s="65"/>
      <c r="BG78" s="65"/>
      <c r="BH78" s="205"/>
      <c r="BI78" s="65"/>
      <c r="BJ78" s="65"/>
      <c r="BK78" s="20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409"/>
      <c r="DH78" s="409"/>
      <c r="DI78" s="409"/>
      <c r="DJ78" s="409"/>
      <c r="DK78" s="409"/>
      <c r="DL78" s="409"/>
      <c r="DM78" s="409"/>
      <c r="DN78" s="409"/>
      <c r="DO78" s="409"/>
      <c r="DP78" s="409"/>
      <c r="DQ78" s="409"/>
      <c r="DR78" s="409"/>
      <c r="DS78" s="409"/>
      <c r="DT78" s="409"/>
      <c r="DU78" s="409"/>
      <c r="DV78" s="409"/>
      <c r="DW78" s="409"/>
      <c r="DX78" s="409"/>
      <c r="DY78" s="409"/>
      <c r="DZ78" s="409"/>
      <c r="EA78" s="409"/>
      <c r="EB78" s="409"/>
      <c r="EC78" s="409"/>
      <c r="ED78" s="409"/>
    </row>
    <row r="79" spans="1:134" ht="23.95" customHeight="1">
      <c r="A79" s="63"/>
      <c r="B79" s="1211" t="s">
        <v>914</v>
      </c>
      <c r="C79" s="1027"/>
      <c r="D79" s="1027"/>
      <c r="E79" s="1027"/>
      <c r="F79" s="1027"/>
      <c r="G79" s="1027"/>
      <c r="H79" s="1027"/>
      <c r="I79" s="1027"/>
      <c r="J79" s="1027"/>
      <c r="K79" s="1027"/>
      <c r="L79" s="1027"/>
      <c r="M79" s="1027"/>
      <c r="N79" s="1027"/>
      <c r="O79" s="1028"/>
      <c r="P79" s="412"/>
      <c r="Q79" s="129"/>
      <c r="R79" s="127"/>
      <c r="S79" s="125"/>
      <c r="T79" s="125"/>
      <c r="U79" s="125"/>
      <c r="V79" s="65"/>
      <c r="W79" s="201"/>
      <c r="X79" s="202"/>
      <c r="Y79" s="211"/>
      <c r="Z79" s="65"/>
      <c r="AA79" s="65"/>
      <c r="AB79" s="65"/>
      <c r="AC79" s="65"/>
      <c r="AD79" s="65"/>
      <c r="AE79" s="65"/>
      <c r="AF79" s="65"/>
      <c r="AG79" s="6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65"/>
      <c r="AX79" s="65"/>
      <c r="AY79" s="65"/>
      <c r="AZ79" s="65"/>
      <c r="BA79" s="205"/>
      <c r="BB79" s="65"/>
      <c r="BC79" s="65"/>
      <c r="BD79" s="65"/>
      <c r="BE79" s="205"/>
      <c r="BF79" s="65"/>
      <c r="BG79" s="65"/>
      <c r="BH79" s="205"/>
      <c r="BI79" s="65"/>
      <c r="BJ79" s="65"/>
      <c r="BK79" s="20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409"/>
      <c r="DH79" s="409"/>
      <c r="DI79" s="409"/>
      <c r="DJ79" s="409"/>
      <c r="DK79" s="409"/>
      <c r="DL79" s="409"/>
      <c r="DM79" s="409"/>
      <c r="DN79" s="409"/>
      <c r="DO79" s="409"/>
      <c r="DP79" s="409"/>
      <c r="DQ79" s="409"/>
      <c r="DR79" s="409"/>
      <c r="DS79" s="409"/>
      <c r="DT79" s="409"/>
      <c r="DU79" s="409"/>
      <c r="DV79" s="409"/>
      <c r="DW79" s="409"/>
      <c r="DX79" s="409"/>
      <c r="DY79" s="409"/>
      <c r="DZ79" s="409"/>
      <c r="EA79" s="409"/>
      <c r="EB79" s="409"/>
      <c r="EC79" s="409"/>
      <c r="ED79" s="409"/>
    </row>
    <row r="80" spans="1:134" ht="20.05" customHeight="1">
      <c r="A80" s="61"/>
      <c r="B80" s="738"/>
      <c r="C80" s="614"/>
      <c r="D80" s="614"/>
      <c r="E80" s="614"/>
      <c r="F80" s="614"/>
      <c r="G80" s="1022" t="s">
        <v>776</v>
      </c>
      <c r="H80" s="1023"/>
      <c r="I80" s="1023"/>
      <c r="J80" s="1023"/>
      <c r="K80" s="1023"/>
      <c r="L80" s="1023"/>
      <c r="M80" s="1023"/>
      <c r="N80" s="1023"/>
      <c r="O80" s="1024"/>
      <c r="P80" s="412"/>
      <c r="Q80" s="129"/>
      <c r="R80" s="127"/>
      <c r="S80" s="125"/>
      <c r="T80" s="125"/>
      <c r="U80" s="125"/>
      <c r="V80" s="65"/>
      <c r="W80" s="201"/>
      <c r="X80" s="202"/>
      <c r="Y80" s="211"/>
      <c r="Z80" s="65"/>
      <c r="AA80" s="65"/>
      <c r="AB80" s="65"/>
      <c r="AC80" s="65"/>
      <c r="AD80" s="65"/>
      <c r="AE80" s="65"/>
      <c r="AF80" s="65"/>
      <c r="AG80" s="6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65"/>
      <c r="AX80" s="65"/>
      <c r="AY80" s="65"/>
      <c r="AZ80" s="65"/>
      <c r="BA80" s="205"/>
      <c r="BB80" s="65"/>
      <c r="BC80" s="65"/>
      <c r="BD80" s="65"/>
      <c r="BE80" s="205"/>
      <c r="BF80" s="65"/>
      <c r="BG80" s="65"/>
      <c r="BH80" s="205"/>
      <c r="BI80" s="65"/>
      <c r="BJ80" s="65"/>
      <c r="BK80" s="20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409"/>
      <c r="DH80" s="409"/>
      <c r="DI80" s="409"/>
      <c r="DJ80" s="409"/>
      <c r="DK80" s="409"/>
      <c r="DL80" s="409"/>
      <c r="DM80" s="409"/>
      <c r="DN80" s="409"/>
      <c r="DO80" s="409"/>
      <c r="DP80" s="409"/>
      <c r="DQ80" s="409"/>
      <c r="DR80" s="409"/>
      <c r="DS80" s="409"/>
      <c r="DT80" s="409"/>
      <c r="DU80" s="409"/>
      <c r="DV80" s="409"/>
      <c r="DW80" s="409"/>
      <c r="DX80" s="409"/>
      <c r="DY80" s="409"/>
      <c r="DZ80" s="409"/>
      <c r="EA80" s="409"/>
      <c r="EB80" s="409"/>
      <c r="EC80" s="409"/>
      <c r="ED80" s="409"/>
    </row>
    <row r="81" spans="1:134" ht="20.05" customHeight="1">
      <c r="A81" s="61"/>
      <c r="B81" s="739"/>
      <c r="C81" s="614"/>
      <c r="D81" s="614"/>
      <c r="E81" s="614"/>
      <c r="F81" s="614"/>
      <c r="G81" s="97"/>
      <c r="H81" s="97"/>
      <c r="I81" s="324"/>
      <c r="J81" s="324" t="s">
        <v>12</v>
      </c>
      <c r="K81" s="324"/>
      <c r="L81" s="1025" t="str">
        <f>IF(SUM(Q83:Q117)&gt;0,"Vul kruisje in. Géén cijfer!","")</f>
        <v/>
      </c>
      <c r="M81" s="1025"/>
      <c r="N81" s="1025"/>
      <c r="O81" s="1026"/>
      <c r="P81" s="412"/>
      <c r="Q81" s="129"/>
      <c r="R81" s="127"/>
      <c r="S81" s="125"/>
      <c r="T81" s="125"/>
      <c r="U81" s="125"/>
      <c r="V81" s="65"/>
      <c r="W81" s="201"/>
      <c r="X81" s="202"/>
      <c r="Y81" s="211"/>
      <c r="Z81" s="65"/>
      <c r="AA81" s="65"/>
      <c r="AB81" s="65"/>
      <c r="AC81" s="65"/>
      <c r="AD81" s="65"/>
      <c r="AE81" s="65"/>
      <c r="AF81" s="65"/>
      <c r="AG81" s="6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65"/>
      <c r="AX81" s="65"/>
      <c r="AY81" s="65"/>
      <c r="AZ81" s="65"/>
      <c r="BA81" s="205"/>
      <c r="BB81" s="65"/>
      <c r="BC81" s="65"/>
      <c r="BD81" s="65"/>
      <c r="BE81" s="205"/>
      <c r="BF81" s="65"/>
      <c r="BG81" s="65"/>
      <c r="BH81" s="205"/>
      <c r="BI81" s="65"/>
      <c r="BJ81" s="65"/>
      <c r="BK81" s="20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409"/>
      <c r="DH81" s="409"/>
      <c r="DI81" s="409"/>
      <c r="DJ81" s="409"/>
      <c r="DK81" s="409"/>
      <c r="DL81" s="409"/>
      <c r="DM81" s="409"/>
      <c r="DN81" s="409"/>
      <c r="DO81" s="409"/>
      <c r="DP81" s="409"/>
      <c r="DQ81" s="409"/>
      <c r="DR81" s="409"/>
      <c r="DS81" s="409"/>
      <c r="DT81" s="409"/>
      <c r="DU81" s="409"/>
      <c r="DV81" s="409"/>
      <c r="DW81" s="409"/>
      <c r="DX81" s="409"/>
      <c r="DY81" s="409"/>
      <c r="DZ81" s="409"/>
      <c r="EA81" s="409"/>
      <c r="EB81" s="409"/>
      <c r="EC81" s="409"/>
      <c r="ED81" s="409"/>
    </row>
    <row r="82" spans="1:134" ht="23.2" customHeight="1">
      <c r="A82" s="61"/>
      <c r="B82" s="739"/>
      <c r="C82" s="614"/>
      <c r="D82" s="614"/>
      <c r="E82" s="614"/>
      <c r="F82" s="614"/>
      <c r="G82" s="181"/>
      <c r="H82" s="181"/>
      <c r="I82" s="391"/>
      <c r="J82" s="391"/>
      <c r="K82" s="391"/>
      <c r="L82" s="1025"/>
      <c r="M82" s="1025"/>
      <c r="N82" s="1025"/>
      <c r="O82" s="1026"/>
      <c r="P82" s="412"/>
      <c r="Q82" s="129"/>
      <c r="R82" s="127"/>
      <c r="S82" s="125"/>
      <c r="T82" s="125"/>
      <c r="U82" s="125"/>
      <c r="V82" s="65"/>
      <c r="W82" s="201"/>
      <c r="X82" s="202"/>
      <c r="Y82" s="211"/>
      <c r="Z82" s="65"/>
      <c r="AA82" s="65"/>
      <c r="AB82" s="65"/>
      <c r="AC82" s="65"/>
      <c r="AD82" s="65"/>
      <c r="AE82" s="65"/>
      <c r="AF82" s="65"/>
      <c r="AG82" s="6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65"/>
      <c r="AX82" s="65"/>
      <c r="AY82" s="65"/>
      <c r="AZ82" s="65"/>
      <c r="BA82" s="205"/>
      <c r="BB82" s="65"/>
      <c r="BC82" s="65"/>
      <c r="BD82" s="65"/>
      <c r="BE82" s="205"/>
      <c r="BF82" s="65"/>
      <c r="BG82" s="65"/>
      <c r="BH82" s="205"/>
      <c r="BI82" s="65"/>
      <c r="BJ82" s="65"/>
      <c r="BK82" s="20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409"/>
      <c r="DH82" s="409"/>
      <c r="DI82" s="409"/>
      <c r="DJ82" s="409"/>
      <c r="DK82" s="409"/>
      <c r="DL82" s="409"/>
      <c r="DM82" s="409"/>
      <c r="DN82" s="409"/>
      <c r="DO82" s="409"/>
      <c r="DP82" s="409"/>
      <c r="DQ82" s="409"/>
      <c r="DR82" s="409"/>
      <c r="DS82" s="409"/>
      <c r="DT82" s="409"/>
      <c r="DU82" s="409"/>
      <c r="DV82" s="409"/>
      <c r="DW82" s="409"/>
      <c r="DX82" s="409"/>
      <c r="DY82" s="409"/>
      <c r="DZ82" s="409"/>
      <c r="EA82" s="409"/>
      <c r="EB82" s="409"/>
      <c r="EC82" s="409"/>
      <c r="ED82" s="409"/>
    </row>
    <row r="83" spans="1:134" ht="20.05" customHeight="1">
      <c r="A83" s="61"/>
      <c r="B83" s="739" t="s">
        <v>118</v>
      </c>
      <c r="C83" s="56">
        <f>IF(OR($N$66="minimaal 6 personen!",$N$67="minimaal 6 personen!",$N$68="minimaal 6 personen!",$N$69="minimaal 6 personen!",$N$70="minimaal 2 personen!"),"",SUM($J$66:$J$70)*$D83)</f>
        <v>0</v>
      </c>
      <c r="D83" s="57">
        <f>SUM(PRIJZEN!T36)</f>
        <v>0.15</v>
      </c>
      <c r="E83" s="610"/>
      <c r="F83" s="706"/>
      <c r="G83" s="1036" t="s">
        <v>766</v>
      </c>
      <c r="H83" s="1037"/>
      <c r="I83" s="1037"/>
      <c r="J83" s="617"/>
      <c r="K83" s="620"/>
      <c r="L83" s="653" t="str">
        <f>IF(AND($J83="x",$C83&lt;&gt;""),SUM($J$66:$J$70)*20,"")</f>
        <v/>
      </c>
      <c r="M83" s="723" t="s">
        <v>106</v>
      </c>
      <c r="N83" s="1034" t="str">
        <f t="shared" ref="N83:N92" si="12">IF(AND($L83&gt;0,$J83="x"),$C83,"")</f>
        <v/>
      </c>
      <c r="O83" s="1035"/>
      <c r="P83" s="412"/>
      <c r="Q83" s="129">
        <f t="shared" ref="Q83:Q92" si="13">IF(AND($J83&lt;&gt;"",$J83&lt;&gt;"x"),1,0)</f>
        <v>0</v>
      </c>
      <c r="R83" s="127"/>
      <c r="S83" s="125"/>
      <c r="T83" s="125"/>
      <c r="U83" s="125"/>
      <c r="V83" s="65"/>
      <c r="W83" s="201"/>
      <c r="X83" s="202"/>
      <c r="Y83" s="211"/>
      <c r="Z83" s="65"/>
      <c r="AA83" s="65"/>
      <c r="AB83" s="65"/>
      <c r="AC83" s="65"/>
      <c r="AD83" s="65"/>
      <c r="AE83" s="65"/>
      <c r="AF83" s="65"/>
      <c r="AG83" s="6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65"/>
      <c r="AX83" s="65"/>
      <c r="AY83" s="65"/>
      <c r="AZ83" s="65"/>
      <c r="BA83" s="205"/>
      <c r="BB83" s="65"/>
      <c r="BC83" s="65"/>
      <c r="BD83" s="65"/>
      <c r="BE83" s="205"/>
      <c r="BF83" s="65"/>
      <c r="BG83" s="65"/>
      <c r="BH83" s="205"/>
      <c r="BI83" s="65"/>
      <c r="BJ83" s="65"/>
      <c r="BK83" s="20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409"/>
      <c r="DH83" s="409"/>
      <c r="DI83" s="409"/>
      <c r="DJ83" s="409"/>
      <c r="DK83" s="409"/>
      <c r="DL83" s="409"/>
      <c r="DM83" s="409"/>
      <c r="DN83" s="409"/>
      <c r="DO83" s="409"/>
      <c r="DP83" s="409"/>
      <c r="DQ83" s="409"/>
      <c r="DR83" s="409"/>
      <c r="DS83" s="409"/>
      <c r="DT83" s="409"/>
      <c r="DU83" s="409"/>
      <c r="DV83" s="409"/>
      <c r="DW83" s="409"/>
      <c r="DX83" s="409"/>
      <c r="DY83" s="409"/>
      <c r="DZ83" s="409"/>
      <c r="EA83" s="409"/>
      <c r="EB83" s="409"/>
      <c r="EC83" s="409"/>
      <c r="ED83" s="409"/>
    </row>
    <row r="84" spans="1:134" ht="20.05" customHeight="1">
      <c r="A84" s="61"/>
      <c r="B84" s="739" t="s">
        <v>864</v>
      </c>
      <c r="C84" s="56">
        <f t="shared" ref="C84:C92" si="14">IF(OR($N$66="minimaal 6 personen!",$N$67="minimaal 6 personen!",$N$68="minimaal 6 personen!",$N$69="minimaal 6 personen!",$N$70="minimaal 2 personen!"),"",SUM($J$66:$J$70)*$D84)</f>
        <v>0</v>
      </c>
      <c r="D84" s="57">
        <f>SUM(PRIJZEN!T37)</f>
        <v>0.05</v>
      </c>
      <c r="E84" s="610"/>
      <c r="F84" s="706"/>
      <c r="G84" s="1038" t="s">
        <v>767</v>
      </c>
      <c r="H84" s="1039"/>
      <c r="I84" s="1039"/>
      <c r="J84" s="618"/>
      <c r="K84" s="607"/>
      <c r="L84" s="654" t="str">
        <f>IF(AND($J84="x",$C84&lt;&gt;""),SUM($J$66:$J$70)*15,"")</f>
        <v/>
      </c>
      <c r="M84" s="121" t="s">
        <v>106</v>
      </c>
      <c r="N84" s="1000" t="str">
        <f t="shared" si="12"/>
        <v/>
      </c>
      <c r="O84" s="1001"/>
      <c r="P84" s="412"/>
      <c r="Q84" s="129">
        <f t="shared" si="13"/>
        <v>0</v>
      </c>
      <c r="R84" s="127"/>
      <c r="S84" s="125"/>
      <c r="T84" s="125"/>
      <c r="U84" s="125"/>
      <c r="V84" s="65"/>
      <c r="W84" s="201"/>
      <c r="X84" s="202"/>
      <c r="Y84" s="211"/>
      <c r="Z84" s="65"/>
      <c r="AA84" s="65"/>
      <c r="AB84" s="65"/>
      <c r="AC84" s="65"/>
      <c r="AD84" s="65"/>
      <c r="AE84" s="65"/>
      <c r="AF84" s="65"/>
      <c r="AG84" s="6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65"/>
      <c r="AX84" s="65"/>
      <c r="AY84" s="65"/>
      <c r="AZ84" s="65"/>
      <c r="BA84" s="205"/>
      <c r="BB84" s="65"/>
      <c r="BC84" s="65"/>
      <c r="BD84" s="65"/>
      <c r="BE84" s="205"/>
      <c r="BF84" s="65"/>
      <c r="BG84" s="65"/>
      <c r="BH84" s="205"/>
      <c r="BI84" s="65"/>
      <c r="BJ84" s="65"/>
      <c r="BK84" s="20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409"/>
      <c r="DH84" s="409"/>
      <c r="DI84" s="409"/>
      <c r="DJ84" s="409"/>
      <c r="DK84" s="409"/>
      <c r="DL84" s="409"/>
      <c r="DM84" s="409"/>
      <c r="DN84" s="409"/>
      <c r="DO84" s="409"/>
      <c r="DP84" s="409"/>
      <c r="DQ84" s="409"/>
      <c r="DR84" s="409"/>
      <c r="DS84" s="409"/>
      <c r="DT84" s="409"/>
      <c r="DU84" s="409"/>
      <c r="DV84" s="409"/>
      <c r="DW84" s="409"/>
      <c r="DX84" s="409"/>
      <c r="DY84" s="409"/>
      <c r="DZ84" s="409"/>
      <c r="EA84" s="409"/>
      <c r="EB84" s="409"/>
      <c r="EC84" s="409"/>
      <c r="ED84" s="409"/>
    </row>
    <row r="85" spans="1:134" ht="20.05" customHeight="1">
      <c r="A85" s="61"/>
      <c r="B85" s="739" t="s">
        <v>865</v>
      </c>
      <c r="C85" s="56">
        <f t="shared" si="14"/>
        <v>0</v>
      </c>
      <c r="D85" s="57">
        <f>SUM(PRIJZEN!T38)</f>
        <v>0.1</v>
      </c>
      <c r="E85" s="610"/>
      <c r="F85" s="706"/>
      <c r="G85" s="1038" t="s">
        <v>768</v>
      </c>
      <c r="H85" s="1039"/>
      <c r="I85" s="1039"/>
      <c r="J85" s="618"/>
      <c r="K85" s="607"/>
      <c r="L85" s="656" t="str">
        <f>IF(AND($J85="x",$C85&lt;&gt;""),SUM($J$66:$J$70)*15,"")</f>
        <v/>
      </c>
      <c r="M85" s="121" t="s">
        <v>106</v>
      </c>
      <c r="N85" s="1015" t="str">
        <f t="shared" si="12"/>
        <v/>
      </c>
      <c r="O85" s="1016"/>
      <c r="P85" s="412"/>
      <c r="Q85" s="129">
        <f t="shared" si="13"/>
        <v>0</v>
      </c>
      <c r="R85" s="127"/>
      <c r="S85" s="125"/>
      <c r="T85" s="125"/>
      <c r="U85" s="125"/>
      <c r="V85" s="65"/>
      <c r="W85" s="201"/>
      <c r="X85" s="202"/>
      <c r="Y85" s="211"/>
      <c r="Z85" s="65"/>
      <c r="AA85" s="65"/>
      <c r="AB85" s="65"/>
      <c r="AC85" s="65"/>
      <c r="AD85" s="65"/>
      <c r="AE85" s="65"/>
      <c r="AF85" s="65"/>
      <c r="AG85" s="6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65"/>
      <c r="AX85" s="65"/>
      <c r="AY85" s="65"/>
      <c r="AZ85" s="65"/>
      <c r="BA85" s="205"/>
      <c r="BB85" s="65"/>
      <c r="BC85" s="65"/>
      <c r="BD85" s="65"/>
      <c r="BE85" s="205"/>
      <c r="BF85" s="65"/>
      <c r="BG85" s="65"/>
      <c r="BH85" s="205"/>
      <c r="BI85" s="65"/>
      <c r="BJ85" s="65"/>
      <c r="BK85" s="20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409"/>
      <c r="DH85" s="409"/>
      <c r="DI85" s="409"/>
      <c r="DJ85" s="409"/>
      <c r="DK85" s="409"/>
      <c r="DL85" s="409"/>
      <c r="DM85" s="409"/>
      <c r="DN85" s="409"/>
      <c r="DO85" s="409"/>
      <c r="DP85" s="409"/>
      <c r="DQ85" s="409"/>
      <c r="DR85" s="409"/>
      <c r="DS85" s="409"/>
      <c r="DT85" s="409"/>
      <c r="DU85" s="409"/>
      <c r="DV85" s="409"/>
      <c r="DW85" s="409"/>
      <c r="DX85" s="409"/>
      <c r="DY85" s="409"/>
      <c r="DZ85" s="409"/>
      <c r="EA85" s="409"/>
      <c r="EB85" s="409"/>
      <c r="EC85" s="409"/>
      <c r="ED85" s="409"/>
    </row>
    <row r="86" spans="1:134" ht="20.05" customHeight="1">
      <c r="A86" s="61"/>
      <c r="B86" s="739" t="s">
        <v>866</v>
      </c>
      <c r="C86" s="56">
        <f t="shared" si="14"/>
        <v>0</v>
      </c>
      <c r="D86" s="57">
        <f>SUM(PRIJZEN!T39)</f>
        <v>0.33</v>
      </c>
      <c r="E86" s="610"/>
      <c r="F86" s="706"/>
      <c r="G86" s="1038" t="s">
        <v>771</v>
      </c>
      <c r="H86" s="1039"/>
      <c r="I86" s="1039"/>
      <c r="J86" s="618"/>
      <c r="K86" s="607"/>
      <c r="L86" s="655" t="str">
        <f>IF(AND($J86="x",$C86&lt;&gt;""),SUM($J$66:$J$70)*15,"")</f>
        <v/>
      </c>
      <c r="M86" s="119" t="s">
        <v>106</v>
      </c>
      <c r="N86" s="1015" t="str">
        <f t="shared" si="12"/>
        <v/>
      </c>
      <c r="O86" s="1016"/>
      <c r="P86" s="412"/>
      <c r="Q86" s="129">
        <f t="shared" si="13"/>
        <v>0</v>
      </c>
      <c r="R86" s="127"/>
      <c r="S86" s="125"/>
      <c r="T86" s="125"/>
      <c r="U86" s="125"/>
      <c r="V86" s="65"/>
      <c r="W86" s="201"/>
      <c r="X86" s="202"/>
      <c r="Y86" s="211"/>
      <c r="Z86" s="65"/>
      <c r="AA86" s="65"/>
      <c r="AB86" s="65"/>
      <c r="AC86" s="65"/>
      <c r="AD86" s="65"/>
      <c r="AE86" s="65"/>
      <c r="AF86" s="65"/>
      <c r="AG86" s="6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65"/>
      <c r="AX86" s="65"/>
      <c r="AY86" s="65"/>
      <c r="AZ86" s="65"/>
      <c r="BA86" s="205"/>
      <c r="BB86" s="65"/>
      <c r="BC86" s="65"/>
      <c r="BD86" s="65"/>
      <c r="BE86" s="205"/>
      <c r="BF86" s="65"/>
      <c r="BG86" s="65"/>
      <c r="BH86" s="205"/>
      <c r="BI86" s="65"/>
      <c r="BJ86" s="65"/>
      <c r="BK86" s="20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409"/>
      <c r="DH86" s="409"/>
      <c r="DI86" s="409"/>
      <c r="DJ86" s="409"/>
      <c r="DK86" s="409"/>
      <c r="DL86" s="409"/>
      <c r="DM86" s="409"/>
      <c r="DN86" s="409"/>
      <c r="DO86" s="409"/>
      <c r="DP86" s="409"/>
      <c r="DQ86" s="409"/>
      <c r="DR86" s="409"/>
      <c r="DS86" s="409"/>
      <c r="DT86" s="409"/>
      <c r="DU86" s="409"/>
      <c r="DV86" s="409"/>
      <c r="DW86" s="409"/>
      <c r="DX86" s="409"/>
      <c r="DY86" s="409"/>
      <c r="DZ86" s="409"/>
      <c r="EA86" s="409"/>
      <c r="EB86" s="409"/>
      <c r="EC86" s="409"/>
      <c r="ED86" s="409"/>
    </row>
    <row r="87" spans="1:134" ht="20.05" customHeight="1">
      <c r="A87" s="61"/>
      <c r="B87" s="739" t="s">
        <v>862</v>
      </c>
      <c r="C87" s="56">
        <f t="shared" si="14"/>
        <v>0</v>
      </c>
      <c r="D87" s="57">
        <f>SUM(PRIJZEN!T40)</f>
        <v>0.43</v>
      </c>
      <c r="E87" s="610"/>
      <c r="F87" s="706"/>
      <c r="G87" s="1038" t="s">
        <v>772</v>
      </c>
      <c r="H87" s="1039"/>
      <c r="I87" s="1039"/>
      <c r="J87" s="618"/>
      <c r="K87" s="607"/>
      <c r="L87" s="654" t="str">
        <f>IF(AND($J87="x",$C87&lt;&gt;""),SUM($J$66:$J$70)*1,"")</f>
        <v/>
      </c>
      <c r="M87" s="120" t="s">
        <v>780</v>
      </c>
      <c r="N87" s="1000" t="str">
        <f t="shared" si="12"/>
        <v/>
      </c>
      <c r="O87" s="1001"/>
      <c r="P87" s="412"/>
      <c r="Q87" s="129">
        <f t="shared" si="13"/>
        <v>0</v>
      </c>
      <c r="R87" s="127"/>
      <c r="S87" s="125"/>
      <c r="T87" s="125"/>
      <c r="U87" s="125"/>
      <c r="V87" s="65"/>
      <c r="W87" s="201"/>
      <c r="X87" s="202"/>
      <c r="Y87" s="211"/>
      <c r="Z87" s="65"/>
      <c r="AA87" s="65"/>
      <c r="AB87" s="65"/>
      <c r="AC87" s="65"/>
      <c r="AD87" s="65"/>
      <c r="AE87" s="65"/>
      <c r="AF87" s="65"/>
      <c r="AG87" s="6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65"/>
      <c r="AX87" s="65"/>
      <c r="AY87" s="65"/>
      <c r="AZ87" s="65"/>
      <c r="BA87" s="205"/>
      <c r="BB87" s="65"/>
      <c r="BC87" s="65"/>
      <c r="BD87" s="65"/>
      <c r="BE87" s="205"/>
      <c r="BF87" s="65"/>
      <c r="BG87" s="65"/>
      <c r="BH87" s="205"/>
      <c r="BI87" s="65"/>
      <c r="BJ87" s="65"/>
      <c r="BK87" s="20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409"/>
      <c r="DH87" s="409"/>
      <c r="DI87" s="409"/>
      <c r="DJ87" s="409"/>
      <c r="DK87" s="409"/>
      <c r="DL87" s="409"/>
      <c r="DM87" s="409"/>
      <c r="DN87" s="409"/>
      <c r="DO87" s="409"/>
      <c r="DP87" s="409"/>
      <c r="DQ87" s="409"/>
      <c r="DR87" s="409"/>
      <c r="DS87" s="409"/>
      <c r="DT87" s="409"/>
      <c r="DU87" s="409"/>
      <c r="DV87" s="409"/>
      <c r="DW87" s="409"/>
      <c r="DX87" s="409"/>
      <c r="DY87" s="409"/>
      <c r="DZ87" s="409"/>
      <c r="EA87" s="409"/>
      <c r="EB87" s="409"/>
      <c r="EC87" s="409"/>
      <c r="ED87" s="409"/>
    </row>
    <row r="88" spans="1:134" ht="20.05" customHeight="1">
      <c r="A88" s="61"/>
      <c r="B88" s="739"/>
      <c r="C88" s="56">
        <f t="shared" si="14"/>
        <v>0</v>
      </c>
      <c r="D88" s="57">
        <f>SUM(PRIJZEN!T41)</f>
        <v>0.05</v>
      </c>
      <c r="E88" s="610"/>
      <c r="F88" s="706"/>
      <c r="G88" s="1038" t="s">
        <v>773</v>
      </c>
      <c r="H88" s="1039"/>
      <c r="I88" s="1039"/>
      <c r="J88" s="618"/>
      <c r="K88" s="607"/>
      <c r="L88" s="655" t="str">
        <f>IF(AND($J88="x",$C88&lt;&gt;""),SUM($J$66:$J$70)*10,"")</f>
        <v/>
      </c>
      <c r="M88" s="121" t="s">
        <v>106</v>
      </c>
      <c r="N88" s="1209" t="str">
        <f t="shared" si="12"/>
        <v/>
      </c>
      <c r="O88" s="1210"/>
      <c r="P88" s="412"/>
      <c r="Q88" s="129">
        <f t="shared" si="13"/>
        <v>0</v>
      </c>
      <c r="R88" s="127"/>
      <c r="S88" s="125"/>
      <c r="T88" s="125"/>
      <c r="U88" s="125"/>
      <c r="V88" s="65"/>
      <c r="W88" s="201"/>
      <c r="X88" s="202"/>
      <c r="Y88" s="211"/>
      <c r="Z88" s="65"/>
      <c r="AA88" s="65"/>
      <c r="AB88" s="65"/>
      <c r="AC88" s="65"/>
      <c r="AD88" s="65"/>
      <c r="AE88" s="65"/>
      <c r="AF88" s="65"/>
      <c r="AG88" s="6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65"/>
      <c r="AX88" s="65"/>
      <c r="AY88" s="65"/>
      <c r="AZ88" s="65"/>
      <c r="BA88" s="205"/>
      <c r="BB88" s="65"/>
      <c r="BC88" s="65"/>
      <c r="BD88" s="65"/>
      <c r="BE88" s="205"/>
      <c r="BF88" s="65"/>
      <c r="BG88" s="65"/>
      <c r="BH88" s="205"/>
      <c r="BI88" s="65"/>
      <c r="BJ88" s="65"/>
      <c r="BK88" s="20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409"/>
      <c r="DH88" s="409"/>
      <c r="DI88" s="409"/>
      <c r="DJ88" s="409"/>
      <c r="DK88" s="409"/>
      <c r="DL88" s="409"/>
      <c r="DM88" s="409"/>
      <c r="DN88" s="409"/>
      <c r="DO88" s="409"/>
      <c r="DP88" s="409"/>
      <c r="DQ88" s="409"/>
      <c r="DR88" s="409"/>
      <c r="DS88" s="409"/>
      <c r="DT88" s="409"/>
      <c r="DU88" s="409"/>
      <c r="DV88" s="409"/>
      <c r="DW88" s="409"/>
      <c r="DX88" s="409"/>
      <c r="DY88" s="409"/>
      <c r="DZ88" s="409"/>
      <c r="EA88" s="409"/>
      <c r="EB88" s="409"/>
      <c r="EC88" s="409"/>
      <c r="ED88" s="409"/>
    </row>
    <row r="89" spans="1:134" ht="20.05" customHeight="1">
      <c r="A89" s="61"/>
      <c r="B89" s="739"/>
      <c r="C89" s="56">
        <f t="shared" si="14"/>
        <v>0</v>
      </c>
      <c r="D89" s="57">
        <f>SUM(PRIJZEN!T42)</f>
        <v>0.15</v>
      </c>
      <c r="E89" s="610"/>
      <c r="F89" s="706"/>
      <c r="G89" s="1038" t="s">
        <v>774</v>
      </c>
      <c r="H89" s="1039"/>
      <c r="I89" s="1039"/>
      <c r="J89" s="618"/>
      <c r="K89" s="607"/>
      <c r="L89" s="655" t="str">
        <f>IF(AND($J89="x",$C89&lt;&gt;""),SUM($J$66:$J$70)*10,"")</f>
        <v/>
      </c>
      <c r="M89" s="121" t="s">
        <v>106</v>
      </c>
      <c r="N89" s="1000" t="str">
        <f t="shared" si="12"/>
        <v/>
      </c>
      <c r="O89" s="1001"/>
      <c r="P89" s="412"/>
      <c r="Q89" s="129">
        <f t="shared" si="13"/>
        <v>0</v>
      </c>
      <c r="R89" s="127"/>
      <c r="S89" s="125"/>
      <c r="T89" s="125"/>
      <c r="U89" s="125"/>
      <c r="V89" s="65"/>
      <c r="W89" s="201"/>
      <c r="X89" s="202"/>
      <c r="Y89" s="211"/>
      <c r="Z89" s="65"/>
      <c r="AA89" s="65"/>
      <c r="AB89" s="65"/>
      <c r="AC89" s="65"/>
      <c r="AD89" s="65"/>
      <c r="AE89" s="65"/>
      <c r="AF89" s="65"/>
      <c r="AG89" s="6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5"/>
      <c r="AU89" s="205"/>
      <c r="AV89" s="205"/>
      <c r="AW89" s="65"/>
      <c r="AX89" s="65"/>
      <c r="AY89" s="65"/>
      <c r="AZ89" s="65"/>
      <c r="BA89" s="205"/>
      <c r="BB89" s="65"/>
      <c r="BC89" s="65"/>
      <c r="BD89" s="65"/>
      <c r="BE89" s="205"/>
      <c r="BF89" s="65"/>
      <c r="BG89" s="65"/>
      <c r="BH89" s="205"/>
      <c r="BI89" s="65"/>
      <c r="BJ89" s="65"/>
      <c r="BK89" s="20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409"/>
      <c r="DH89" s="409"/>
      <c r="DI89" s="409"/>
      <c r="DJ89" s="409"/>
      <c r="DK89" s="409"/>
      <c r="DL89" s="409"/>
      <c r="DM89" s="409"/>
      <c r="DN89" s="409"/>
      <c r="DO89" s="409"/>
      <c r="DP89" s="409"/>
      <c r="DQ89" s="409"/>
      <c r="DR89" s="409"/>
      <c r="DS89" s="409"/>
      <c r="DT89" s="409"/>
      <c r="DU89" s="409"/>
      <c r="DV89" s="409"/>
      <c r="DW89" s="409"/>
      <c r="DX89" s="409"/>
      <c r="DY89" s="409"/>
      <c r="DZ89" s="409"/>
      <c r="EA89" s="409"/>
      <c r="EB89" s="409"/>
      <c r="EC89" s="409"/>
      <c r="ED89" s="409"/>
    </row>
    <row r="90" spans="1:134" ht="20.05" customHeight="1">
      <c r="A90" s="61"/>
      <c r="B90" s="739"/>
      <c r="C90" s="56">
        <f t="shared" si="14"/>
        <v>0</v>
      </c>
      <c r="D90" s="57">
        <f>SUM(PRIJZEN!T43)</f>
        <v>0.65</v>
      </c>
      <c r="E90" s="610"/>
      <c r="F90" s="706"/>
      <c r="G90" s="1038" t="s">
        <v>770</v>
      </c>
      <c r="H90" s="1039"/>
      <c r="I90" s="1039"/>
      <c r="J90" s="618"/>
      <c r="K90" s="607"/>
      <c r="L90" s="654" t="str">
        <f>IF(AND($J90="x",$C90&lt;&gt;""),SUM($J$66:$J$70)*10,"")</f>
        <v/>
      </c>
      <c r="M90" s="622" t="s">
        <v>106</v>
      </c>
      <c r="N90" s="1017" t="str">
        <f t="shared" si="12"/>
        <v/>
      </c>
      <c r="O90" s="1018"/>
      <c r="P90" s="412"/>
      <c r="Q90" s="129">
        <f t="shared" si="13"/>
        <v>0</v>
      </c>
      <c r="R90" s="127"/>
      <c r="S90" s="125"/>
      <c r="T90" s="125"/>
      <c r="U90" s="125"/>
      <c r="V90" s="65"/>
      <c r="W90" s="201"/>
      <c r="X90" s="202"/>
      <c r="Y90" s="211"/>
      <c r="Z90" s="65"/>
      <c r="AA90" s="65"/>
      <c r="AB90" s="65"/>
      <c r="AC90" s="65"/>
      <c r="AD90" s="65"/>
      <c r="AE90" s="65"/>
      <c r="AF90" s="65"/>
      <c r="AG90" s="6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65"/>
      <c r="AX90" s="65"/>
      <c r="AY90" s="65"/>
      <c r="AZ90" s="65"/>
      <c r="BA90" s="205"/>
      <c r="BB90" s="65"/>
      <c r="BC90" s="65"/>
      <c r="BD90" s="65"/>
      <c r="BE90" s="205"/>
      <c r="BF90" s="65"/>
      <c r="BG90" s="65"/>
      <c r="BH90" s="205"/>
      <c r="BI90" s="65"/>
      <c r="BJ90" s="65"/>
      <c r="BK90" s="20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409"/>
      <c r="DH90" s="409"/>
      <c r="DI90" s="409"/>
      <c r="DJ90" s="409"/>
      <c r="DK90" s="409"/>
      <c r="DL90" s="409"/>
      <c r="DM90" s="409"/>
      <c r="DN90" s="409"/>
      <c r="DO90" s="409"/>
      <c r="DP90" s="409"/>
      <c r="DQ90" s="409"/>
      <c r="DR90" s="409"/>
      <c r="DS90" s="409"/>
      <c r="DT90" s="409"/>
      <c r="DU90" s="409"/>
      <c r="DV90" s="409"/>
      <c r="DW90" s="409"/>
      <c r="DX90" s="409"/>
      <c r="DY90" s="409"/>
      <c r="DZ90" s="409"/>
      <c r="EA90" s="409"/>
      <c r="EB90" s="409"/>
      <c r="EC90" s="409"/>
      <c r="ED90" s="409"/>
    </row>
    <row r="91" spans="1:134" ht="20.05" customHeight="1">
      <c r="A91" s="61"/>
      <c r="B91" s="739"/>
      <c r="C91" s="56">
        <f t="shared" si="14"/>
        <v>0</v>
      </c>
      <c r="D91" s="57">
        <f>SUM(PRIJZEN!T44)</f>
        <v>0.18</v>
      </c>
      <c r="E91" s="610"/>
      <c r="F91" s="706"/>
      <c r="G91" s="1038" t="s">
        <v>775</v>
      </c>
      <c r="H91" s="1039"/>
      <c r="I91" s="1039"/>
      <c r="J91" s="618"/>
      <c r="K91" s="607"/>
      <c r="L91" s="656" t="str">
        <f>IF(AND($J91="x",$C91&lt;&gt;""),SUM($J$66:$J$70)*20,"")</f>
        <v/>
      </c>
      <c r="M91" s="622" t="s">
        <v>106</v>
      </c>
      <c r="N91" s="1015" t="str">
        <f t="shared" si="12"/>
        <v/>
      </c>
      <c r="O91" s="1016"/>
      <c r="P91" s="412"/>
      <c r="Q91" s="129">
        <f t="shared" si="13"/>
        <v>0</v>
      </c>
      <c r="R91" s="127"/>
      <c r="S91" s="125"/>
      <c r="T91" s="125"/>
      <c r="U91" s="125"/>
      <c r="V91" s="65"/>
      <c r="W91" s="201"/>
      <c r="X91" s="202"/>
      <c r="Y91" s="211"/>
      <c r="Z91" s="65"/>
      <c r="AA91" s="65"/>
      <c r="AB91" s="65"/>
      <c r="AC91" s="65"/>
      <c r="AD91" s="65"/>
      <c r="AE91" s="65"/>
      <c r="AF91" s="65"/>
      <c r="AG91" s="6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65"/>
      <c r="AX91" s="65"/>
      <c r="AY91" s="65"/>
      <c r="AZ91" s="65"/>
      <c r="BA91" s="205"/>
      <c r="BB91" s="65"/>
      <c r="BC91" s="65"/>
      <c r="BD91" s="65"/>
      <c r="BE91" s="205"/>
      <c r="BF91" s="65"/>
      <c r="BG91" s="65"/>
      <c r="BH91" s="205"/>
      <c r="BI91" s="65"/>
      <c r="BJ91" s="65"/>
      <c r="BK91" s="20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409"/>
      <c r="DH91" s="409"/>
      <c r="DI91" s="409"/>
      <c r="DJ91" s="409"/>
      <c r="DK91" s="409"/>
      <c r="DL91" s="409"/>
      <c r="DM91" s="409"/>
      <c r="DN91" s="409"/>
      <c r="DO91" s="409"/>
      <c r="DP91" s="409"/>
      <c r="DQ91" s="409"/>
      <c r="DR91" s="409"/>
      <c r="DS91" s="409"/>
      <c r="DT91" s="409"/>
      <c r="DU91" s="409"/>
      <c r="DV91" s="409"/>
      <c r="DW91" s="409"/>
      <c r="DX91" s="409"/>
      <c r="DY91" s="409"/>
      <c r="DZ91" s="409"/>
      <c r="EA91" s="409"/>
      <c r="EB91" s="409"/>
      <c r="EC91" s="409"/>
      <c r="ED91" s="409"/>
    </row>
    <row r="92" spans="1:134" ht="20.05" customHeight="1">
      <c r="A92" s="61"/>
      <c r="B92" s="739"/>
      <c r="C92" s="56">
        <f t="shared" si="14"/>
        <v>0</v>
      </c>
      <c r="D92" s="57">
        <f>SUM(PRIJZEN!T45)</f>
        <v>0.35</v>
      </c>
      <c r="E92" s="610"/>
      <c r="F92" s="706"/>
      <c r="G92" s="1038" t="s">
        <v>769</v>
      </c>
      <c r="H92" s="1039"/>
      <c r="I92" s="1039"/>
      <c r="J92" s="623"/>
      <c r="K92" s="605"/>
      <c r="L92" s="656" t="str">
        <f>IF(AND($J92="x",$C92&lt;&gt;""),SUM($J$66:$J$70)*30,"")</f>
        <v/>
      </c>
      <c r="M92" s="119" t="s">
        <v>106</v>
      </c>
      <c r="N92" s="1002" t="str">
        <f t="shared" si="12"/>
        <v/>
      </c>
      <c r="O92" s="1003"/>
      <c r="P92" s="412"/>
      <c r="Q92" s="129">
        <f t="shared" si="13"/>
        <v>0</v>
      </c>
      <c r="R92" s="127"/>
      <c r="S92" s="125"/>
      <c r="T92" s="125"/>
      <c r="U92" s="125"/>
      <c r="V92" s="65"/>
      <c r="W92" s="201"/>
      <c r="X92" s="202"/>
      <c r="Y92" s="211"/>
      <c r="Z92" s="65"/>
      <c r="AA92" s="65"/>
      <c r="AB92" s="65"/>
      <c r="AC92" s="65"/>
      <c r="AD92" s="65"/>
      <c r="AE92" s="65"/>
      <c r="AF92" s="65"/>
      <c r="AG92" s="6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65"/>
      <c r="AX92" s="65"/>
      <c r="AY92" s="65"/>
      <c r="AZ92" s="65"/>
      <c r="BA92" s="205"/>
      <c r="BB92" s="65"/>
      <c r="BC92" s="65"/>
      <c r="BD92" s="65"/>
      <c r="BE92" s="205"/>
      <c r="BF92" s="65"/>
      <c r="BG92" s="65"/>
      <c r="BH92" s="205"/>
      <c r="BI92" s="65"/>
      <c r="BJ92" s="65"/>
      <c r="BK92" s="20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409"/>
      <c r="DH92" s="409"/>
      <c r="DI92" s="409"/>
      <c r="DJ92" s="409"/>
      <c r="DK92" s="409"/>
      <c r="DL92" s="409"/>
      <c r="DM92" s="409"/>
      <c r="DN92" s="409"/>
      <c r="DO92" s="409"/>
      <c r="DP92" s="409"/>
      <c r="DQ92" s="409"/>
      <c r="DR92" s="409"/>
      <c r="DS92" s="409"/>
      <c r="DT92" s="409"/>
      <c r="DU92" s="409"/>
      <c r="DV92" s="409"/>
      <c r="DW92" s="409"/>
      <c r="DX92" s="409"/>
      <c r="DY92" s="409"/>
      <c r="DZ92" s="409"/>
      <c r="EA92" s="409"/>
      <c r="EB92" s="409"/>
      <c r="EC92" s="409"/>
      <c r="ED92" s="409"/>
    </row>
    <row r="93" spans="1:134" ht="20.05" customHeight="1">
      <c r="A93" s="61"/>
      <c r="B93" s="740"/>
      <c r="C93" s="616"/>
      <c r="D93" s="610"/>
      <c r="E93" s="610"/>
      <c r="F93" s="706"/>
      <c r="G93" s="1004" t="s">
        <v>869</v>
      </c>
      <c r="H93" s="1005"/>
      <c r="I93" s="1005"/>
      <c r="J93" s="1005"/>
      <c r="K93" s="1006"/>
      <c r="L93" s="1007">
        <f>SUM(N83:O92)</f>
        <v>0</v>
      </c>
      <c r="M93" s="1007"/>
      <c r="N93" s="814"/>
      <c r="O93" s="576"/>
      <c r="P93" s="412"/>
      <c r="Q93" s="129"/>
      <c r="R93" s="127"/>
      <c r="S93" s="125"/>
      <c r="T93" s="125"/>
      <c r="U93" s="125"/>
      <c r="V93" s="65"/>
      <c r="W93" s="201"/>
      <c r="X93" s="202"/>
      <c r="Y93" s="211"/>
      <c r="Z93" s="65"/>
      <c r="AA93" s="65"/>
      <c r="AB93" s="65"/>
      <c r="AC93" s="65"/>
      <c r="AD93" s="65"/>
      <c r="AE93" s="65"/>
      <c r="AF93" s="65"/>
      <c r="AG93" s="6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65"/>
      <c r="AX93" s="65"/>
      <c r="AY93" s="65"/>
      <c r="AZ93" s="65"/>
      <c r="BA93" s="205"/>
      <c r="BB93" s="65"/>
      <c r="BC93" s="65"/>
      <c r="BD93" s="65"/>
      <c r="BE93" s="205"/>
      <c r="BF93" s="65"/>
      <c r="BG93" s="65"/>
      <c r="BH93" s="205"/>
      <c r="BI93" s="65"/>
      <c r="BJ93" s="65"/>
      <c r="BK93" s="20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409"/>
      <c r="DH93" s="409"/>
      <c r="DI93" s="409"/>
      <c r="DJ93" s="409"/>
      <c r="DK93" s="409"/>
      <c r="DL93" s="409"/>
      <c r="DM93" s="409"/>
      <c r="DN93" s="409"/>
      <c r="DO93" s="409"/>
      <c r="DP93" s="409"/>
      <c r="DQ93" s="409"/>
      <c r="DR93" s="409"/>
      <c r="DS93" s="409"/>
      <c r="DT93" s="409"/>
      <c r="DU93" s="409"/>
      <c r="DV93" s="409"/>
      <c r="DW93" s="409"/>
      <c r="DX93" s="409"/>
      <c r="DY93" s="409"/>
      <c r="DZ93" s="409"/>
      <c r="EA93" s="409"/>
      <c r="EB93" s="409"/>
      <c r="EC93" s="409"/>
      <c r="ED93" s="409"/>
    </row>
    <row r="94" spans="1:134" ht="23.95" customHeight="1">
      <c r="A94" s="63"/>
      <c r="B94" s="750"/>
      <c r="C94" s="1027" t="s">
        <v>915</v>
      </c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1028"/>
      <c r="P94" s="412"/>
      <c r="Q94" s="129"/>
      <c r="R94" s="127"/>
      <c r="S94" s="125"/>
      <c r="T94" s="125"/>
      <c r="U94" s="125"/>
      <c r="V94" s="65"/>
      <c r="W94" s="201"/>
      <c r="X94" s="202"/>
      <c r="Y94" s="211"/>
      <c r="Z94" s="65"/>
      <c r="AA94" s="65"/>
      <c r="AB94" s="65"/>
      <c r="AC94" s="65"/>
      <c r="AD94" s="65"/>
      <c r="AE94" s="65"/>
      <c r="AF94" s="65"/>
      <c r="AG94" s="6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65"/>
      <c r="AX94" s="65"/>
      <c r="AY94" s="65"/>
      <c r="AZ94" s="65"/>
      <c r="BA94" s="205"/>
      <c r="BB94" s="65"/>
      <c r="BC94" s="65"/>
      <c r="BD94" s="65"/>
      <c r="BE94" s="205"/>
      <c r="BF94" s="65"/>
      <c r="BG94" s="65"/>
      <c r="BH94" s="205"/>
      <c r="BI94" s="65"/>
      <c r="BJ94" s="65"/>
      <c r="BK94" s="20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409"/>
      <c r="DH94" s="409"/>
      <c r="DI94" s="409"/>
      <c r="DJ94" s="409"/>
      <c r="DK94" s="409"/>
      <c r="DL94" s="409"/>
      <c r="DM94" s="409"/>
      <c r="DN94" s="409"/>
      <c r="DO94" s="409"/>
      <c r="DP94" s="409"/>
      <c r="DQ94" s="409"/>
      <c r="DR94" s="409"/>
      <c r="DS94" s="409"/>
      <c r="DT94" s="409"/>
      <c r="DU94" s="409"/>
      <c r="DV94" s="409"/>
      <c r="DW94" s="409"/>
      <c r="DX94" s="409"/>
      <c r="DY94" s="409"/>
      <c r="DZ94" s="409"/>
      <c r="EA94" s="409"/>
      <c r="EB94" s="409"/>
      <c r="EC94" s="409"/>
      <c r="ED94" s="409"/>
    </row>
    <row r="95" spans="1:134" ht="20.05" customHeight="1">
      <c r="A95" s="63"/>
      <c r="B95" s="706"/>
      <c r="C95" s="706"/>
      <c r="D95" s="706"/>
      <c r="E95" s="706"/>
      <c r="F95" s="706"/>
      <c r="G95" s="1029" t="s">
        <v>777</v>
      </c>
      <c r="H95" s="1030"/>
      <c r="I95" s="1030"/>
      <c r="J95" s="1030"/>
      <c r="K95" s="1030"/>
      <c r="L95" s="1030"/>
      <c r="M95" s="1030"/>
      <c r="N95" s="1030"/>
      <c r="O95" s="1031"/>
      <c r="P95" s="412"/>
      <c r="Q95" s="129"/>
      <c r="R95" s="127"/>
      <c r="S95" s="125"/>
      <c r="T95" s="125"/>
      <c r="U95" s="125"/>
      <c r="V95" s="65"/>
      <c r="W95" s="201"/>
      <c r="X95" s="202"/>
      <c r="Y95" s="211"/>
      <c r="Z95" s="65"/>
      <c r="AA95" s="65"/>
      <c r="AB95" s="65"/>
      <c r="AC95" s="65"/>
      <c r="AD95" s="65"/>
      <c r="AE95" s="65"/>
      <c r="AF95" s="65"/>
      <c r="AG95" s="6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65"/>
      <c r="AX95" s="65"/>
      <c r="AY95" s="65"/>
      <c r="AZ95" s="65"/>
      <c r="BA95" s="205"/>
      <c r="BB95" s="65"/>
      <c r="BC95" s="65"/>
      <c r="BD95" s="65"/>
      <c r="BE95" s="205"/>
      <c r="BF95" s="65"/>
      <c r="BG95" s="65"/>
      <c r="BH95" s="205"/>
      <c r="BI95" s="65"/>
      <c r="BJ95" s="65"/>
      <c r="BK95" s="20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409"/>
      <c r="DH95" s="409"/>
      <c r="DI95" s="409"/>
      <c r="DJ95" s="409"/>
      <c r="DK95" s="409"/>
      <c r="DL95" s="409"/>
      <c r="DM95" s="409"/>
      <c r="DN95" s="409"/>
      <c r="DO95" s="409"/>
      <c r="DP95" s="409"/>
      <c r="DQ95" s="409"/>
      <c r="DR95" s="409"/>
      <c r="DS95" s="409"/>
      <c r="DT95" s="409"/>
      <c r="DU95" s="409"/>
      <c r="DV95" s="409"/>
      <c r="DW95" s="409"/>
      <c r="DX95" s="409"/>
      <c r="DY95" s="409"/>
      <c r="DZ95" s="409"/>
      <c r="EA95" s="409"/>
      <c r="EB95" s="409"/>
      <c r="EC95" s="409"/>
      <c r="ED95" s="409"/>
    </row>
    <row r="96" spans="1:134" ht="20.05" customHeight="1">
      <c r="A96" s="63"/>
      <c r="B96" s="706"/>
      <c r="C96" s="706"/>
      <c r="D96" s="706"/>
      <c r="E96" s="706"/>
      <c r="F96" s="706"/>
      <c r="G96" s="628"/>
      <c r="H96" s="97"/>
      <c r="I96" s="324"/>
      <c r="J96" s="324" t="s">
        <v>12</v>
      </c>
      <c r="K96" s="324"/>
      <c r="L96" s="1025" t="str">
        <f>IF(SUM(Q115:Q132)&gt;0,"Vul kruisje in. Géén cijfer!","")</f>
        <v/>
      </c>
      <c r="M96" s="1025"/>
      <c r="N96" s="1025"/>
      <c r="O96" s="1026"/>
      <c r="P96" s="412"/>
      <c r="Q96" s="129"/>
      <c r="R96" s="127"/>
      <c r="S96" s="125"/>
      <c r="T96" s="125"/>
      <c r="U96" s="125"/>
      <c r="V96" s="65"/>
      <c r="W96" s="201"/>
      <c r="X96" s="202"/>
      <c r="Y96" s="211"/>
      <c r="Z96" s="65"/>
      <c r="AA96" s="65"/>
      <c r="AB96" s="65"/>
      <c r="AC96" s="65"/>
      <c r="AD96" s="65"/>
      <c r="AE96" s="65"/>
      <c r="AF96" s="65"/>
      <c r="AG96" s="6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65"/>
      <c r="AX96" s="65"/>
      <c r="AY96" s="65"/>
      <c r="AZ96" s="65"/>
      <c r="BA96" s="205"/>
      <c r="BB96" s="65"/>
      <c r="BC96" s="65"/>
      <c r="BD96" s="65"/>
      <c r="BE96" s="205"/>
      <c r="BF96" s="65"/>
      <c r="BG96" s="65"/>
      <c r="BH96" s="205"/>
      <c r="BI96" s="65"/>
      <c r="BJ96" s="65"/>
      <c r="BK96" s="20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409"/>
      <c r="DH96" s="409"/>
      <c r="DI96" s="409"/>
      <c r="DJ96" s="409"/>
      <c r="DK96" s="409"/>
      <c r="DL96" s="409"/>
      <c r="DM96" s="409"/>
      <c r="DN96" s="409"/>
      <c r="DO96" s="409"/>
      <c r="DP96" s="409"/>
      <c r="DQ96" s="409"/>
      <c r="DR96" s="409"/>
      <c r="DS96" s="409"/>
      <c r="DT96" s="409"/>
      <c r="DU96" s="409"/>
      <c r="DV96" s="409"/>
      <c r="DW96" s="409"/>
      <c r="DX96" s="409"/>
      <c r="DY96" s="409"/>
      <c r="DZ96" s="409"/>
      <c r="EA96" s="409"/>
      <c r="EB96" s="409"/>
      <c r="EC96" s="409"/>
      <c r="ED96" s="409"/>
    </row>
    <row r="97" spans="1:134" ht="23.2" customHeight="1">
      <c r="A97" s="63"/>
      <c r="B97" s="706"/>
      <c r="C97" s="706"/>
      <c r="D97" s="706"/>
      <c r="E97" s="706"/>
      <c r="F97" s="706"/>
      <c r="G97" s="625"/>
      <c r="H97" s="626"/>
      <c r="I97" s="627"/>
      <c r="J97" s="627"/>
      <c r="K97" s="627"/>
      <c r="L97" s="1032"/>
      <c r="M97" s="1032"/>
      <c r="N97" s="1032"/>
      <c r="O97" s="1033"/>
      <c r="P97" s="412"/>
      <c r="Q97" s="129"/>
      <c r="R97" s="127"/>
      <c r="S97" s="125"/>
      <c r="T97" s="125"/>
      <c r="U97" s="125"/>
      <c r="V97" s="65"/>
      <c r="W97" s="201"/>
      <c r="X97" s="202"/>
      <c r="Y97" s="211"/>
      <c r="Z97" s="65"/>
      <c r="AA97" s="65"/>
      <c r="AB97" s="65"/>
      <c r="AC97" s="65"/>
      <c r="AD97" s="65"/>
      <c r="AE97" s="65"/>
      <c r="AF97" s="65"/>
      <c r="AG97" s="6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65"/>
      <c r="AX97" s="65"/>
      <c r="AY97" s="65"/>
      <c r="AZ97" s="65"/>
      <c r="BA97" s="205"/>
      <c r="BB97" s="65"/>
      <c r="BC97" s="65"/>
      <c r="BD97" s="65"/>
      <c r="BE97" s="205"/>
      <c r="BF97" s="65"/>
      <c r="BG97" s="65"/>
      <c r="BH97" s="205"/>
      <c r="BI97" s="65"/>
      <c r="BJ97" s="65"/>
      <c r="BK97" s="20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409"/>
      <c r="DH97" s="409"/>
      <c r="DI97" s="409"/>
      <c r="DJ97" s="409"/>
      <c r="DK97" s="409"/>
      <c r="DL97" s="409"/>
      <c r="DM97" s="409"/>
      <c r="DN97" s="409"/>
      <c r="DO97" s="409"/>
      <c r="DP97" s="409"/>
      <c r="DQ97" s="409"/>
      <c r="DR97" s="409"/>
      <c r="DS97" s="409"/>
      <c r="DT97" s="409"/>
      <c r="DU97" s="409"/>
      <c r="DV97" s="409"/>
      <c r="DW97" s="409"/>
      <c r="DX97" s="409"/>
      <c r="DY97" s="409"/>
      <c r="DZ97" s="409"/>
      <c r="EA97" s="409"/>
      <c r="EB97" s="409"/>
      <c r="EC97" s="409"/>
      <c r="ED97" s="409"/>
    </row>
    <row r="98" spans="1:134" ht="20.05" customHeight="1">
      <c r="A98" s="63"/>
      <c r="B98" s="738"/>
      <c r="C98" s="56">
        <f>IF(OR($N$66="minimaal 6 personen!",$N$67="minimaal 6 personen!",$N$68="minimaal 6 personen!",$N$69="minimaal 6 personen!",$N$70="minimaal 2 personen!"),"",SUM($J$66:$J$70)*D98)</f>
        <v>0</v>
      </c>
      <c r="D98" s="57">
        <f>SUM(PRIJZEN!T15/100*30)</f>
        <v>0.53400000000000003</v>
      </c>
      <c r="E98" s="610"/>
      <c r="F98" s="706"/>
      <c r="G98" s="1009" t="s">
        <v>781</v>
      </c>
      <c r="H98" s="1010"/>
      <c r="I98" s="1011"/>
      <c r="J98" s="618"/>
      <c r="K98" s="607"/>
      <c r="L98" s="654" t="str">
        <f>IF(AND($J98="x",C98&lt;&gt;""),SUM($J$66:$J$70)*30,"")</f>
        <v/>
      </c>
      <c r="M98" s="119" t="s">
        <v>106</v>
      </c>
      <c r="N98" s="1020" t="str">
        <f>IF(AND($L98&gt;0,$J98="x"),C98,"")</f>
        <v/>
      </c>
      <c r="O98" s="1021"/>
      <c r="P98" s="412"/>
      <c r="Q98" s="129">
        <f t="shared" ref="Q98:Q117" si="15">IF(AND($J98&lt;&gt;"",$J98&lt;&gt;"x"),1,0)</f>
        <v>0</v>
      </c>
      <c r="R98" s="127"/>
      <c r="S98" s="125"/>
      <c r="T98" s="125"/>
      <c r="U98" s="125"/>
      <c r="V98" s="65"/>
      <c r="W98" s="201"/>
      <c r="X98" s="202"/>
      <c r="Y98" s="211"/>
      <c r="Z98" s="65"/>
      <c r="AA98" s="65"/>
      <c r="AB98" s="65"/>
      <c r="AC98" s="65"/>
      <c r="AD98" s="65"/>
      <c r="AE98" s="65"/>
      <c r="AF98" s="65"/>
      <c r="AG98" s="6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65"/>
      <c r="AX98" s="65"/>
      <c r="AY98" s="65"/>
      <c r="AZ98" s="65"/>
      <c r="BA98" s="205"/>
      <c r="BB98" s="65"/>
      <c r="BC98" s="65"/>
      <c r="BD98" s="65"/>
      <c r="BE98" s="205"/>
      <c r="BF98" s="65"/>
      <c r="BG98" s="65"/>
      <c r="BH98" s="205"/>
      <c r="BI98" s="65"/>
      <c r="BJ98" s="65"/>
      <c r="BK98" s="20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409"/>
      <c r="DH98" s="409"/>
      <c r="DI98" s="409"/>
      <c r="DJ98" s="409"/>
      <c r="DK98" s="409"/>
      <c r="DL98" s="409"/>
      <c r="DM98" s="409"/>
      <c r="DN98" s="409"/>
      <c r="DO98" s="409"/>
      <c r="DP98" s="409"/>
      <c r="DQ98" s="409"/>
      <c r="DR98" s="409"/>
      <c r="DS98" s="409"/>
      <c r="DT98" s="409"/>
      <c r="DU98" s="409"/>
      <c r="DV98" s="409"/>
      <c r="DW98" s="409"/>
      <c r="DX98" s="409"/>
      <c r="DY98" s="409"/>
      <c r="DZ98" s="409"/>
      <c r="EA98" s="409"/>
      <c r="EB98" s="409"/>
      <c r="EC98" s="409"/>
      <c r="ED98" s="409"/>
    </row>
    <row r="99" spans="1:134" ht="20.05" customHeight="1">
      <c r="A99" s="63"/>
      <c r="B99" s="739"/>
      <c r="C99" s="56">
        <f t="shared" ref="C99:C117" si="16">IF(OR($N$66="minimaal 6 personen!",$N$67="minimaal 6 personen!",$N$68="minimaal 6 personen!",$N$69="minimaal 6 personen!",$N$70="minimaal 2 personen!"),"",SUM($J$66:$J$70)*D99)</f>
        <v>0</v>
      </c>
      <c r="D99" s="57">
        <f>SUM(PRIJZEN!T16/100*30)</f>
        <v>0.53400000000000003</v>
      </c>
      <c r="E99" s="610"/>
      <c r="F99" s="706"/>
      <c r="G99" s="997" t="s">
        <v>789</v>
      </c>
      <c r="H99" s="998"/>
      <c r="I99" s="999"/>
      <c r="J99" s="618"/>
      <c r="K99" s="607"/>
      <c r="L99" s="655" t="str">
        <f t="shared" ref="L99:L117" si="17">IF(AND($J99="x",C99&lt;&gt;""),SUM($J$66:$J$70)*30,"")</f>
        <v/>
      </c>
      <c r="M99" s="121" t="s">
        <v>106</v>
      </c>
      <c r="N99" s="1017" t="str">
        <f t="shared" ref="N99:N117" si="18">IF(AND($L99&gt;0,$J99="x"),C99,"")</f>
        <v/>
      </c>
      <c r="O99" s="1018"/>
      <c r="P99" s="412"/>
      <c r="Q99" s="129">
        <f t="shared" si="15"/>
        <v>0</v>
      </c>
      <c r="R99" s="127"/>
      <c r="S99" s="125"/>
      <c r="T99" s="125"/>
      <c r="U99" s="125"/>
      <c r="V99" s="65"/>
      <c r="W99" s="201"/>
      <c r="X99" s="202"/>
      <c r="Y99" s="211"/>
      <c r="Z99" s="65"/>
      <c r="AA99" s="65"/>
      <c r="AB99" s="65"/>
      <c r="AC99" s="65"/>
      <c r="AD99" s="65"/>
      <c r="AE99" s="65"/>
      <c r="AF99" s="65"/>
      <c r="AG99" s="6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65"/>
      <c r="AX99" s="65"/>
      <c r="AY99" s="65"/>
      <c r="AZ99" s="65"/>
      <c r="BA99" s="205"/>
      <c r="BB99" s="65"/>
      <c r="BC99" s="65"/>
      <c r="BD99" s="65"/>
      <c r="BE99" s="205"/>
      <c r="BF99" s="65"/>
      <c r="BG99" s="65"/>
      <c r="BH99" s="205"/>
      <c r="BI99" s="65"/>
      <c r="BJ99" s="65"/>
      <c r="BK99" s="20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409"/>
      <c r="DH99" s="409"/>
      <c r="DI99" s="409"/>
      <c r="DJ99" s="409"/>
      <c r="DK99" s="409"/>
      <c r="DL99" s="409"/>
      <c r="DM99" s="409"/>
      <c r="DN99" s="409"/>
      <c r="DO99" s="409"/>
      <c r="DP99" s="409"/>
      <c r="DQ99" s="409"/>
      <c r="DR99" s="409"/>
      <c r="DS99" s="409"/>
      <c r="DT99" s="409"/>
      <c r="DU99" s="409"/>
      <c r="DV99" s="409"/>
      <c r="DW99" s="409"/>
      <c r="DX99" s="409"/>
      <c r="DY99" s="409"/>
      <c r="DZ99" s="409"/>
      <c r="EA99" s="409"/>
      <c r="EB99" s="409"/>
      <c r="EC99" s="409"/>
      <c r="ED99" s="409"/>
    </row>
    <row r="100" spans="1:134" ht="20.05" customHeight="1">
      <c r="A100" s="63"/>
      <c r="B100" s="739"/>
      <c r="C100" s="56">
        <f t="shared" si="16"/>
        <v>0</v>
      </c>
      <c r="D100" s="57">
        <f>SUM(PRIJZEN!T17/100*30)</f>
        <v>0.53400000000000003</v>
      </c>
      <c r="E100" s="610"/>
      <c r="F100" s="706"/>
      <c r="G100" s="997" t="s">
        <v>790</v>
      </c>
      <c r="H100" s="998"/>
      <c r="I100" s="999"/>
      <c r="J100" s="618"/>
      <c r="K100" s="607"/>
      <c r="L100" s="654" t="str">
        <f t="shared" si="17"/>
        <v/>
      </c>
      <c r="M100" s="121" t="s">
        <v>106</v>
      </c>
      <c r="N100" s="1000" t="str">
        <f t="shared" si="18"/>
        <v/>
      </c>
      <c r="O100" s="1001"/>
      <c r="P100" s="412"/>
      <c r="Q100" s="129">
        <f t="shared" si="15"/>
        <v>0</v>
      </c>
      <c r="R100" s="127"/>
      <c r="S100" s="125"/>
      <c r="T100" s="125"/>
      <c r="U100" s="125"/>
      <c r="V100" s="65"/>
      <c r="W100" s="201"/>
      <c r="X100" s="202"/>
      <c r="Y100" s="211"/>
      <c r="Z100" s="65"/>
      <c r="AA100" s="65"/>
      <c r="AB100" s="65"/>
      <c r="AC100" s="65"/>
      <c r="AD100" s="65"/>
      <c r="AE100" s="65"/>
      <c r="AF100" s="65"/>
      <c r="AG100" s="6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65"/>
      <c r="AX100" s="65"/>
      <c r="AY100" s="65"/>
      <c r="AZ100" s="65"/>
      <c r="BA100" s="205"/>
      <c r="BB100" s="65"/>
      <c r="BC100" s="65"/>
      <c r="BD100" s="65"/>
      <c r="BE100" s="205"/>
      <c r="BF100" s="65"/>
      <c r="BG100" s="65"/>
      <c r="BH100" s="205"/>
      <c r="BI100" s="65"/>
      <c r="BJ100" s="65"/>
      <c r="BK100" s="20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409"/>
      <c r="DH100" s="409"/>
      <c r="DI100" s="409"/>
      <c r="DJ100" s="409"/>
      <c r="DK100" s="409"/>
      <c r="DL100" s="409"/>
      <c r="DM100" s="409"/>
      <c r="DN100" s="409"/>
      <c r="DO100" s="409"/>
      <c r="DP100" s="409"/>
      <c r="DQ100" s="409"/>
      <c r="DR100" s="409"/>
      <c r="DS100" s="409"/>
      <c r="DT100" s="409"/>
      <c r="DU100" s="409"/>
      <c r="DV100" s="409"/>
      <c r="DW100" s="409"/>
      <c r="DX100" s="409"/>
      <c r="DY100" s="409"/>
      <c r="DZ100" s="409"/>
      <c r="EA100" s="409"/>
      <c r="EB100" s="409"/>
      <c r="EC100" s="409"/>
      <c r="ED100" s="409"/>
    </row>
    <row r="101" spans="1:134" ht="20.05" customHeight="1">
      <c r="A101" s="63"/>
      <c r="B101" s="739"/>
      <c r="C101" s="56">
        <f t="shared" si="16"/>
        <v>0</v>
      </c>
      <c r="D101" s="57">
        <f>SUM(PRIJZEN!T18/100*30)</f>
        <v>0.53400000000000003</v>
      </c>
      <c r="E101" s="610"/>
      <c r="F101" s="706"/>
      <c r="G101" s="997" t="s">
        <v>791</v>
      </c>
      <c r="H101" s="998"/>
      <c r="I101" s="999"/>
      <c r="J101" s="618"/>
      <c r="K101" s="607"/>
      <c r="L101" s="656" t="str">
        <f t="shared" si="17"/>
        <v/>
      </c>
      <c r="M101" s="119" t="s">
        <v>106</v>
      </c>
      <c r="N101" s="1017" t="str">
        <f t="shared" si="18"/>
        <v/>
      </c>
      <c r="O101" s="1018"/>
      <c r="P101" s="412"/>
      <c r="Q101" s="129">
        <f t="shared" si="15"/>
        <v>0</v>
      </c>
      <c r="R101" s="127"/>
      <c r="S101" s="125"/>
      <c r="T101" s="125"/>
      <c r="U101" s="125"/>
      <c r="V101" s="65"/>
      <c r="W101" s="201"/>
      <c r="X101" s="202"/>
      <c r="Y101" s="211"/>
      <c r="Z101" s="65"/>
      <c r="AA101" s="65"/>
      <c r="AB101" s="65"/>
      <c r="AC101" s="65"/>
      <c r="AD101" s="65"/>
      <c r="AE101" s="65"/>
      <c r="AF101" s="65"/>
      <c r="AG101" s="6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65"/>
      <c r="AX101" s="65"/>
      <c r="AY101" s="65"/>
      <c r="AZ101" s="65"/>
      <c r="BA101" s="205"/>
      <c r="BB101" s="65"/>
      <c r="BC101" s="65"/>
      <c r="BD101" s="65"/>
      <c r="BE101" s="205"/>
      <c r="BF101" s="65"/>
      <c r="BG101" s="65"/>
      <c r="BH101" s="205"/>
      <c r="BI101" s="65"/>
      <c r="BJ101" s="65"/>
      <c r="BK101" s="20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409"/>
      <c r="DH101" s="409"/>
      <c r="DI101" s="409"/>
      <c r="DJ101" s="409"/>
      <c r="DK101" s="409"/>
      <c r="DL101" s="409"/>
      <c r="DM101" s="409"/>
      <c r="DN101" s="409"/>
      <c r="DO101" s="409"/>
      <c r="DP101" s="409"/>
      <c r="DQ101" s="409"/>
      <c r="DR101" s="409"/>
      <c r="DS101" s="409"/>
      <c r="DT101" s="409"/>
      <c r="DU101" s="409"/>
      <c r="DV101" s="409"/>
      <c r="DW101" s="409"/>
      <c r="DX101" s="409"/>
      <c r="DY101" s="409"/>
      <c r="DZ101" s="409"/>
      <c r="EA101" s="409"/>
      <c r="EB101" s="409"/>
      <c r="EC101" s="409"/>
      <c r="ED101" s="409"/>
    </row>
    <row r="102" spans="1:134" ht="20.05" customHeight="1">
      <c r="A102" s="63"/>
      <c r="B102" s="739"/>
      <c r="C102" s="56">
        <f t="shared" si="16"/>
        <v>0</v>
      </c>
      <c r="D102" s="57">
        <f>SUM(PRIJZEN!T19/100*30)</f>
        <v>0.53400000000000003</v>
      </c>
      <c r="E102" s="610"/>
      <c r="F102" s="706"/>
      <c r="G102" s="997" t="s">
        <v>792</v>
      </c>
      <c r="H102" s="998"/>
      <c r="I102" s="999"/>
      <c r="J102" s="618"/>
      <c r="K102" s="607"/>
      <c r="L102" s="655" t="str">
        <f t="shared" si="17"/>
        <v/>
      </c>
      <c r="M102" s="120" t="s">
        <v>106</v>
      </c>
      <c r="N102" s="1000" t="str">
        <f t="shared" si="18"/>
        <v/>
      </c>
      <c r="O102" s="1001"/>
      <c r="P102" s="412"/>
      <c r="Q102" s="129">
        <f t="shared" si="15"/>
        <v>0</v>
      </c>
      <c r="R102" s="127"/>
      <c r="S102" s="125"/>
      <c r="T102" s="125"/>
      <c r="U102" s="125"/>
      <c r="V102" s="65"/>
      <c r="W102" s="201"/>
      <c r="X102" s="202"/>
      <c r="Y102" s="211"/>
      <c r="Z102" s="65"/>
      <c r="AA102" s="65"/>
      <c r="AB102" s="65"/>
      <c r="AC102" s="65"/>
      <c r="AD102" s="65"/>
      <c r="AE102" s="65"/>
      <c r="AF102" s="65"/>
      <c r="AG102" s="6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65"/>
      <c r="AX102" s="65"/>
      <c r="AY102" s="65"/>
      <c r="AZ102" s="65"/>
      <c r="BA102" s="205"/>
      <c r="BB102" s="65"/>
      <c r="BC102" s="65"/>
      <c r="BD102" s="65"/>
      <c r="BE102" s="205"/>
      <c r="BF102" s="65"/>
      <c r="BG102" s="65"/>
      <c r="BH102" s="205"/>
      <c r="BI102" s="65"/>
      <c r="BJ102" s="65"/>
      <c r="BK102" s="20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409"/>
      <c r="DH102" s="409"/>
      <c r="DI102" s="409"/>
      <c r="DJ102" s="409"/>
      <c r="DK102" s="409"/>
      <c r="DL102" s="409"/>
      <c r="DM102" s="409"/>
      <c r="DN102" s="409"/>
      <c r="DO102" s="409"/>
      <c r="DP102" s="409"/>
      <c r="DQ102" s="409"/>
      <c r="DR102" s="409"/>
      <c r="DS102" s="409"/>
      <c r="DT102" s="409"/>
      <c r="DU102" s="409"/>
      <c r="DV102" s="409"/>
      <c r="DW102" s="409"/>
      <c r="DX102" s="409"/>
      <c r="DY102" s="409"/>
      <c r="DZ102" s="409"/>
      <c r="EA102" s="409"/>
      <c r="EB102" s="409"/>
      <c r="EC102" s="409"/>
      <c r="ED102" s="409"/>
    </row>
    <row r="103" spans="1:134" ht="20.05" customHeight="1">
      <c r="A103" s="63"/>
      <c r="B103" s="739"/>
      <c r="C103" s="56">
        <f t="shared" si="16"/>
        <v>0</v>
      </c>
      <c r="D103" s="57">
        <f>SUM(PRIJZEN!T20/100*30)</f>
        <v>0.53400000000000003</v>
      </c>
      <c r="E103" s="610"/>
      <c r="F103" s="706"/>
      <c r="G103" s="997" t="s">
        <v>782</v>
      </c>
      <c r="H103" s="998"/>
      <c r="I103" s="999"/>
      <c r="J103" s="618"/>
      <c r="K103" s="607"/>
      <c r="L103" s="655" t="str">
        <f t="shared" si="17"/>
        <v/>
      </c>
      <c r="M103" s="121" t="s">
        <v>106</v>
      </c>
      <c r="N103" s="1017" t="str">
        <f t="shared" si="18"/>
        <v/>
      </c>
      <c r="O103" s="1018"/>
      <c r="P103" s="412"/>
      <c r="Q103" s="129">
        <f t="shared" si="15"/>
        <v>0</v>
      </c>
      <c r="R103" s="127"/>
      <c r="S103" s="125"/>
      <c r="T103" s="125"/>
      <c r="U103" s="125"/>
      <c r="V103" s="65"/>
      <c r="W103" s="201"/>
      <c r="X103" s="202"/>
      <c r="Y103" s="211"/>
      <c r="Z103" s="65"/>
      <c r="AA103" s="65"/>
      <c r="AB103" s="65"/>
      <c r="AC103" s="65"/>
      <c r="AD103" s="65"/>
      <c r="AE103" s="65"/>
      <c r="AF103" s="65"/>
      <c r="AG103" s="6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65"/>
      <c r="AX103" s="65"/>
      <c r="AY103" s="65"/>
      <c r="AZ103" s="65"/>
      <c r="BA103" s="205"/>
      <c r="BB103" s="65"/>
      <c r="BC103" s="65"/>
      <c r="BD103" s="65"/>
      <c r="BE103" s="205"/>
      <c r="BF103" s="65"/>
      <c r="BG103" s="65"/>
      <c r="BH103" s="205"/>
      <c r="BI103" s="65"/>
      <c r="BJ103" s="65"/>
      <c r="BK103" s="20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409"/>
      <c r="DH103" s="409"/>
      <c r="DI103" s="409"/>
      <c r="DJ103" s="409"/>
      <c r="DK103" s="409"/>
      <c r="DL103" s="409"/>
      <c r="DM103" s="409"/>
      <c r="DN103" s="409"/>
      <c r="DO103" s="409"/>
      <c r="DP103" s="409"/>
      <c r="DQ103" s="409"/>
      <c r="DR103" s="409"/>
      <c r="DS103" s="409"/>
      <c r="DT103" s="409"/>
      <c r="DU103" s="409"/>
      <c r="DV103" s="409"/>
      <c r="DW103" s="409"/>
      <c r="DX103" s="409"/>
      <c r="DY103" s="409"/>
      <c r="DZ103" s="409"/>
      <c r="EA103" s="409"/>
      <c r="EB103" s="409"/>
      <c r="EC103" s="409"/>
      <c r="ED103" s="409"/>
    </row>
    <row r="104" spans="1:134" ht="20.05" customHeight="1">
      <c r="A104" s="63"/>
      <c r="B104" s="739"/>
      <c r="C104" s="56">
        <f t="shared" si="16"/>
        <v>0</v>
      </c>
      <c r="D104" s="57">
        <f>SUM(PRIJZEN!T21/100*30)</f>
        <v>0.53400000000000003</v>
      </c>
      <c r="E104" s="610"/>
      <c r="F104" s="706"/>
      <c r="G104" s="997" t="s">
        <v>783</v>
      </c>
      <c r="H104" s="998"/>
      <c r="I104" s="999"/>
      <c r="J104" s="618"/>
      <c r="K104" s="607"/>
      <c r="L104" s="654" t="str">
        <f t="shared" si="17"/>
        <v/>
      </c>
      <c r="M104" s="121" t="s">
        <v>106</v>
      </c>
      <c r="N104" s="1015" t="str">
        <f t="shared" si="18"/>
        <v/>
      </c>
      <c r="O104" s="1016"/>
      <c r="P104" s="412"/>
      <c r="Q104" s="129">
        <f t="shared" si="15"/>
        <v>0</v>
      </c>
      <c r="R104" s="127"/>
      <c r="S104" s="125"/>
      <c r="T104" s="125"/>
      <c r="U104" s="125"/>
      <c r="V104" s="65"/>
      <c r="W104" s="201"/>
      <c r="X104" s="202"/>
      <c r="Y104" s="211"/>
      <c r="Z104" s="65"/>
      <c r="AA104" s="65"/>
      <c r="AB104" s="65"/>
      <c r="AC104" s="65"/>
      <c r="AD104" s="65"/>
      <c r="AE104" s="65"/>
      <c r="AF104" s="65"/>
      <c r="AG104" s="6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65"/>
      <c r="AX104" s="65"/>
      <c r="AY104" s="65"/>
      <c r="AZ104" s="65"/>
      <c r="BA104" s="205"/>
      <c r="BB104" s="65"/>
      <c r="BC104" s="65"/>
      <c r="BD104" s="65"/>
      <c r="BE104" s="205"/>
      <c r="BF104" s="65"/>
      <c r="BG104" s="65"/>
      <c r="BH104" s="205"/>
      <c r="BI104" s="65"/>
      <c r="BJ104" s="65"/>
      <c r="BK104" s="20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409"/>
      <c r="DH104" s="409"/>
      <c r="DI104" s="409"/>
      <c r="DJ104" s="409"/>
      <c r="DK104" s="409"/>
      <c r="DL104" s="409"/>
      <c r="DM104" s="409"/>
      <c r="DN104" s="409"/>
      <c r="DO104" s="409"/>
      <c r="DP104" s="409"/>
      <c r="DQ104" s="409"/>
      <c r="DR104" s="409"/>
      <c r="DS104" s="409"/>
      <c r="DT104" s="409"/>
      <c r="DU104" s="409"/>
      <c r="DV104" s="409"/>
      <c r="DW104" s="409"/>
      <c r="DX104" s="409"/>
      <c r="DY104" s="409"/>
      <c r="DZ104" s="409"/>
      <c r="EA104" s="409"/>
      <c r="EB104" s="409"/>
      <c r="EC104" s="409"/>
      <c r="ED104" s="409"/>
    </row>
    <row r="105" spans="1:134" ht="20.05" customHeight="1">
      <c r="A105" s="63"/>
      <c r="B105" s="739" t="s">
        <v>118</v>
      </c>
      <c r="C105" s="56">
        <f t="shared" si="16"/>
        <v>0</v>
      </c>
      <c r="D105" s="57">
        <f>SUM(PRIJZEN!T22/100*30)</f>
        <v>0.53400000000000003</v>
      </c>
      <c r="E105" s="610"/>
      <c r="F105" s="706"/>
      <c r="G105" s="997" t="s">
        <v>793</v>
      </c>
      <c r="H105" s="998"/>
      <c r="I105" s="999"/>
      <c r="J105" s="618"/>
      <c r="K105" s="607"/>
      <c r="L105" s="655" t="str">
        <f t="shared" si="17"/>
        <v/>
      </c>
      <c r="M105" s="622" t="s">
        <v>106</v>
      </c>
      <c r="N105" s="1000" t="str">
        <f t="shared" si="18"/>
        <v/>
      </c>
      <c r="O105" s="1001"/>
      <c r="P105" s="412"/>
      <c r="Q105" s="129">
        <f t="shared" si="15"/>
        <v>0</v>
      </c>
      <c r="R105" s="127"/>
      <c r="S105" s="125"/>
      <c r="T105" s="125"/>
      <c r="U105" s="125"/>
      <c r="V105" s="65"/>
      <c r="W105" s="201"/>
      <c r="X105" s="202"/>
      <c r="Y105" s="211"/>
      <c r="Z105" s="65"/>
      <c r="AA105" s="65"/>
      <c r="AB105" s="65"/>
      <c r="AC105" s="65"/>
      <c r="AD105" s="65"/>
      <c r="AE105" s="65"/>
      <c r="AF105" s="65"/>
      <c r="AG105" s="6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65"/>
      <c r="AX105" s="65"/>
      <c r="AY105" s="65"/>
      <c r="AZ105" s="65"/>
      <c r="BA105" s="205"/>
      <c r="BB105" s="65"/>
      <c r="BC105" s="65"/>
      <c r="BD105" s="65"/>
      <c r="BE105" s="205"/>
      <c r="BF105" s="65"/>
      <c r="BG105" s="65"/>
      <c r="BH105" s="205"/>
      <c r="BI105" s="65"/>
      <c r="BJ105" s="65"/>
      <c r="BK105" s="20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409"/>
      <c r="DH105" s="409"/>
      <c r="DI105" s="409"/>
      <c r="DJ105" s="409"/>
      <c r="DK105" s="409"/>
      <c r="DL105" s="409"/>
      <c r="DM105" s="409"/>
      <c r="DN105" s="409"/>
      <c r="DO105" s="409"/>
      <c r="DP105" s="409"/>
      <c r="DQ105" s="409"/>
      <c r="DR105" s="409"/>
      <c r="DS105" s="409"/>
      <c r="DT105" s="409"/>
      <c r="DU105" s="409"/>
      <c r="DV105" s="409"/>
      <c r="DW105" s="409"/>
      <c r="DX105" s="409"/>
      <c r="DY105" s="409"/>
      <c r="DZ105" s="409"/>
      <c r="EA105" s="409"/>
      <c r="EB105" s="409"/>
      <c r="EC105" s="409"/>
      <c r="ED105" s="409"/>
    </row>
    <row r="106" spans="1:134" ht="20.05" customHeight="1">
      <c r="A106" s="63"/>
      <c r="B106" s="739" t="s">
        <v>868</v>
      </c>
      <c r="C106" s="56">
        <f t="shared" si="16"/>
        <v>0</v>
      </c>
      <c r="D106" s="57">
        <f>SUM(PRIJZEN!T23/100*30)</f>
        <v>0.53400000000000003</v>
      </c>
      <c r="E106" s="610"/>
      <c r="F106" s="706"/>
      <c r="G106" s="997" t="s">
        <v>809</v>
      </c>
      <c r="H106" s="998"/>
      <c r="I106" s="999"/>
      <c r="J106" s="618"/>
      <c r="K106" s="607"/>
      <c r="L106" s="654" t="str">
        <f t="shared" si="17"/>
        <v/>
      </c>
      <c r="M106" s="622" t="s">
        <v>106</v>
      </c>
      <c r="N106" s="1017" t="str">
        <f t="shared" si="18"/>
        <v/>
      </c>
      <c r="O106" s="1018"/>
      <c r="P106" s="412"/>
      <c r="Q106" s="129">
        <f t="shared" si="15"/>
        <v>0</v>
      </c>
      <c r="R106" s="127"/>
      <c r="S106" s="125"/>
      <c r="T106" s="125"/>
      <c r="U106" s="125"/>
      <c r="V106" s="65"/>
      <c r="W106" s="201"/>
      <c r="X106" s="202"/>
      <c r="Y106" s="211"/>
      <c r="Z106" s="65"/>
      <c r="AA106" s="65"/>
      <c r="AB106" s="65"/>
      <c r="AC106" s="65"/>
      <c r="AD106" s="65"/>
      <c r="AE106" s="65"/>
      <c r="AF106" s="65"/>
      <c r="AG106" s="6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65"/>
      <c r="AX106" s="65"/>
      <c r="AY106" s="65"/>
      <c r="AZ106" s="65"/>
      <c r="BA106" s="205"/>
      <c r="BB106" s="65"/>
      <c r="BC106" s="65"/>
      <c r="BD106" s="65"/>
      <c r="BE106" s="205"/>
      <c r="BF106" s="65"/>
      <c r="BG106" s="65"/>
      <c r="BH106" s="205"/>
      <c r="BI106" s="65"/>
      <c r="BJ106" s="65"/>
      <c r="BK106" s="20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409"/>
      <c r="DH106" s="409"/>
      <c r="DI106" s="409"/>
      <c r="DJ106" s="409"/>
      <c r="DK106" s="409"/>
      <c r="DL106" s="409"/>
      <c r="DM106" s="409"/>
      <c r="DN106" s="409"/>
      <c r="DO106" s="409"/>
      <c r="DP106" s="409"/>
      <c r="DQ106" s="409"/>
      <c r="DR106" s="409"/>
      <c r="DS106" s="409"/>
      <c r="DT106" s="409"/>
      <c r="DU106" s="409"/>
      <c r="DV106" s="409"/>
      <c r="DW106" s="409"/>
      <c r="DX106" s="409"/>
      <c r="DY106" s="409"/>
      <c r="DZ106" s="409"/>
      <c r="EA106" s="409"/>
      <c r="EB106" s="409"/>
      <c r="EC106" s="409"/>
      <c r="ED106" s="409"/>
    </row>
    <row r="107" spans="1:134" ht="20.05" customHeight="1">
      <c r="A107" s="63"/>
      <c r="B107" s="739"/>
      <c r="C107" s="56">
        <f t="shared" si="16"/>
        <v>0</v>
      </c>
      <c r="D107" s="57">
        <f>SUM(PRIJZEN!T24/100*30)</f>
        <v>0.53400000000000003</v>
      </c>
      <c r="E107" s="610"/>
      <c r="F107" s="706"/>
      <c r="G107" s="997" t="s">
        <v>794</v>
      </c>
      <c r="H107" s="998"/>
      <c r="I107" s="999"/>
      <c r="J107" s="623"/>
      <c r="K107" s="170"/>
      <c r="L107" s="656" t="str">
        <f t="shared" si="17"/>
        <v/>
      </c>
      <c r="M107" s="119" t="s">
        <v>106</v>
      </c>
      <c r="N107" s="1000" t="str">
        <f t="shared" si="18"/>
        <v/>
      </c>
      <c r="O107" s="1001"/>
      <c r="P107" s="412"/>
      <c r="Q107" s="129">
        <f t="shared" si="15"/>
        <v>0</v>
      </c>
      <c r="R107" s="127"/>
      <c r="S107" s="125"/>
      <c r="T107" s="125"/>
      <c r="U107" s="125"/>
      <c r="V107" s="65"/>
      <c r="W107" s="201"/>
      <c r="X107" s="202"/>
      <c r="Y107" s="211"/>
      <c r="Z107" s="65"/>
      <c r="AA107" s="65"/>
      <c r="AB107" s="65"/>
      <c r="AC107" s="65"/>
      <c r="AD107" s="65"/>
      <c r="AE107" s="65"/>
      <c r="AF107" s="65"/>
      <c r="AG107" s="6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65"/>
      <c r="AX107" s="61"/>
      <c r="AY107" s="61"/>
      <c r="AZ107" s="61"/>
      <c r="BA107" s="805"/>
      <c r="BB107" s="61"/>
      <c r="BC107" s="61"/>
      <c r="BD107" s="61"/>
      <c r="BE107" s="205"/>
      <c r="BF107" s="65"/>
      <c r="BG107" s="65"/>
      <c r="BH107" s="205"/>
      <c r="BI107" s="65"/>
      <c r="BJ107" s="65"/>
      <c r="BK107" s="20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409"/>
      <c r="DH107" s="409"/>
      <c r="DI107" s="409"/>
      <c r="DJ107" s="409"/>
      <c r="DK107" s="409"/>
      <c r="DL107" s="409"/>
      <c r="DM107" s="409"/>
      <c r="DN107" s="409"/>
      <c r="DO107" s="409"/>
      <c r="DP107" s="409"/>
      <c r="DQ107" s="409"/>
      <c r="DR107" s="409"/>
      <c r="DS107" s="409"/>
      <c r="DT107" s="409"/>
      <c r="DU107" s="409"/>
      <c r="DV107" s="409"/>
      <c r="DW107" s="409"/>
      <c r="DX107" s="409"/>
      <c r="DY107" s="409"/>
      <c r="DZ107" s="409"/>
      <c r="EA107" s="409"/>
      <c r="EB107" s="409"/>
      <c r="EC107" s="409"/>
      <c r="ED107" s="409"/>
    </row>
    <row r="108" spans="1:134" ht="20.05" customHeight="1">
      <c r="A108" s="63"/>
      <c r="B108" s="739"/>
      <c r="C108" s="56">
        <f t="shared" si="16"/>
        <v>0</v>
      </c>
      <c r="D108" s="57">
        <f>SUM(PRIJZEN!T25/100*30)</f>
        <v>0.53400000000000003</v>
      </c>
      <c r="E108" s="610"/>
      <c r="F108" s="706"/>
      <c r="G108" s="997" t="s">
        <v>795</v>
      </c>
      <c r="H108" s="998"/>
      <c r="I108" s="999"/>
      <c r="J108" s="613"/>
      <c r="K108" s="607"/>
      <c r="L108" s="655" t="str">
        <f t="shared" si="17"/>
        <v/>
      </c>
      <c r="M108" s="121" t="s">
        <v>106</v>
      </c>
      <c r="N108" s="1000" t="str">
        <f t="shared" si="18"/>
        <v/>
      </c>
      <c r="O108" s="1001"/>
      <c r="P108" s="412"/>
      <c r="Q108" s="129">
        <f t="shared" si="15"/>
        <v>0</v>
      </c>
      <c r="R108" s="127"/>
      <c r="S108" s="125"/>
      <c r="T108" s="125"/>
      <c r="U108" s="125"/>
      <c r="V108" s="65"/>
      <c r="W108" s="201"/>
      <c r="X108" s="202"/>
      <c r="Y108" s="211"/>
      <c r="Z108" s="65"/>
      <c r="AA108" s="65"/>
      <c r="AB108" s="65"/>
      <c r="AC108" s="65"/>
      <c r="AD108" s="65"/>
      <c r="AE108" s="65"/>
      <c r="AF108" s="65"/>
      <c r="AG108" s="6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65"/>
      <c r="AX108" s="61"/>
      <c r="AY108" s="61"/>
      <c r="AZ108" s="61"/>
      <c r="BA108" s="805"/>
      <c r="BB108" s="61"/>
      <c r="BC108" s="61"/>
      <c r="BD108" s="61"/>
      <c r="BE108" s="205"/>
      <c r="BF108" s="65"/>
      <c r="BG108" s="65"/>
      <c r="BH108" s="205"/>
      <c r="BI108" s="65"/>
      <c r="BJ108" s="65"/>
      <c r="BK108" s="20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409"/>
      <c r="DH108" s="409"/>
      <c r="DI108" s="409"/>
      <c r="DJ108" s="409"/>
      <c r="DK108" s="409"/>
      <c r="DL108" s="409"/>
      <c r="DM108" s="409"/>
      <c r="DN108" s="409"/>
      <c r="DO108" s="409"/>
      <c r="DP108" s="409"/>
      <c r="DQ108" s="409"/>
      <c r="DR108" s="409"/>
      <c r="DS108" s="409"/>
      <c r="DT108" s="409"/>
      <c r="DU108" s="409"/>
      <c r="DV108" s="409"/>
      <c r="DW108" s="409"/>
      <c r="DX108" s="409"/>
      <c r="DY108" s="409"/>
      <c r="DZ108" s="409"/>
      <c r="EA108" s="409"/>
      <c r="EB108" s="409"/>
      <c r="EC108" s="409"/>
      <c r="ED108" s="409"/>
    </row>
    <row r="109" spans="1:134" ht="20.05" customHeight="1">
      <c r="A109" s="63"/>
      <c r="B109" s="739"/>
      <c r="C109" s="56">
        <f t="shared" si="16"/>
        <v>0</v>
      </c>
      <c r="D109" s="57">
        <f>SUM(PRIJZEN!T26/100*30)</f>
        <v>0.53400000000000003</v>
      </c>
      <c r="E109" s="610"/>
      <c r="F109" s="706"/>
      <c r="G109" s="997" t="s">
        <v>784</v>
      </c>
      <c r="H109" s="998"/>
      <c r="I109" s="999"/>
      <c r="J109" s="618"/>
      <c r="K109" s="607"/>
      <c r="L109" s="655" t="str">
        <f t="shared" si="17"/>
        <v/>
      </c>
      <c r="M109" s="121" t="s">
        <v>106</v>
      </c>
      <c r="N109" s="1017" t="str">
        <f t="shared" si="18"/>
        <v/>
      </c>
      <c r="O109" s="1018"/>
      <c r="P109" s="412"/>
      <c r="Q109" s="129">
        <f t="shared" si="15"/>
        <v>0</v>
      </c>
      <c r="R109" s="127"/>
      <c r="S109" s="125"/>
      <c r="T109" s="125"/>
      <c r="U109" s="125"/>
      <c r="V109" s="65"/>
      <c r="W109" s="201"/>
      <c r="X109" s="202"/>
      <c r="Y109" s="211"/>
      <c r="Z109" s="65"/>
      <c r="AA109" s="65"/>
      <c r="AB109" s="65"/>
      <c r="AC109" s="65"/>
      <c r="AD109" s="65"/>
      <c r="AE109" s="65"/>
      <c r="AF109" s="65"/>
      <c r="AG109" s="6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65"/>
      <c r="AX109" s="61"/>
      <c r="AY109" s="61"/>
      <c r="AZ109" s="61"/>
      <c r="BA109" s="805"/>
      <c r="BB109" s="61"/>
      <c r="BC109" s="61"/>
      <c r="BD109" s="61"/>
      <c r="BE109" s="205"/>
      <c r="BF109" s="65"/>
      <c r="BG109" s="65"/>
      <c r="BH109" s="205"/>
      <c r="BI109" s="65"/>
      <c r="BJ109" s="65"/>
      <c r="BK109" s="20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409"/>
      <c r="DH109" s="409"/>
      <c r="DI109" s="409"/>
      <c r="DJ109" s="409"/>
      <c r="DK109" s="409"/>
      <c r="DL109" s="409"/>
      <c r="DM109" s="409"/>
      <c r="DN109" s="409"/>
      <c r="DO109" s="409"/>
      <c r="DP109" s="409"/>
      <c r="DQ109" s="409"/>
      <c r="DR109" s="409"/>
      <c r="DS109" s="409"/>
      <c r="DT109" s="409"/>
      <c r="DU109" s="409"/>
      <c r="DV109" s="409"/>
      <c r="DW109" s="409"/>
      <c r="DX109" s="409"/>
      <c r="DY109" s="409"/>
      <c r="DZ109" s="409"/>
      <c r="EA109" s="409"/>
      <c r="EB109" s="409"/>
      <c r="EC109" s="409"/>
      <c r="ED109" s="409"/>
    </row>
    <row r="110" spans="1:134" ht="20.05" customHeight="1">
      <c r="A110" s="63"/>
      <c r="B110" s="739"/>
      <c r="C110" s="56">
        <f t="shared" si="16"/>
        <v>0</v>
      </c>
      <c r="D110" s="57">
        <f>SUM(PRIJZEN!T27/100*30)</f>
        <v>0.53400000000000003</v>
      </c>
      <c r="E110" s="610"/>
      <c r="F110" s="706"/>
      <c r="G110" s="997" t="s">
        <v>796</v>
      </c>
      <c r="H110" s="998"/>
      <c r="I110" s="999"/>
      <c r="J110" s="618"/>
      <c r="K110" s="607"/>
      <c r="L110" s="655" t="str">
        <f t="shared" si="17"/>
        <v/>
      </c>
      <c r="M110" s="121" t="s">
        <v>106</v>
      </c>
      <c r="N110" s="1015" t="str">
        <f t="shared" si="18"/>
        <v/>
      </c>
      <c r="O110" s="1016"/>
      <c r="P110" s="412"/>
      <c r="Q110" s="129">
        <f t="shared" si="15"/>
        <v>0</v>
      </c>
      <c r="R110" s="127"/>
      <c r="S110" s="125"/>
      <c r="T110" s="125"/>
      <c r="U110" s="125"/>
      <c r="V110" s="65"/>
      <c r="W110" s="201"/>
      <c r="X110" s="202"/>
      <c r="Y110" s="211"/>
      <c r="Z110" s="65"/>
      <c r="AA110" s="65"/>
      <c r="AB110" s="65"/>
      <c r="AC110" s="65"/>
      <c r="AD110" s="65"/>
      <c r="AE110" s="65"/>
      <c r="AF110" s="65"/>
      <c r="AG110" s="6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65"/>
      <c r="AX110" s="61"/>
      <c r="AY110" s="61"/>
      <c r="AZ110" s="61"/>
      <c r="BA110" s="805"/>
      <c r="BB110" s="61"/>
      <c r="BC110" s="61"/>
      <c r="BD110" s="61"/>
      <c r="BE110" s="205"/>
      <c r="BF110" s="65"/>
      <c r="BG110" s="65"/>
      <c r="BH110" s="205"/>
      <c r="BI110" s="65"/>
      <c r="BJ110" s="65"/>
      <c r="BK110" s="20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409"/>
      <c r="DH110" s="409"/>
      <c r="DI110" s="409"/>
      <c r="DJ110" s="409"/>
      <c r="DK110" s="409"/>
      <c r="DL110" s="409"/>
      <c r="DM110" s="409"/>
      <c r="DN110" s="409"/>
      <c r="DO110" s="409"/>
      <c r="DP110" s="409"/>
      <c r="DQ110" s="409"/>
      <c r="DR110" s="409"/>
      <c r="DS110" s="409"/>
      <c r="DT110" s="409"/>
      <c r="DU110" s="409"/>
      <c r="DV110" s="409"/>
      <c r="DW110" s="409"/>
      <c r="DX110" s="409"/>
      <c r="DY110" s="409"/>
      <c r="DZ110" s="409"/>
      <c r="EA110" s="409"/>
      <c r="EB110" s="409"/>
      <c r="EC110" s="409"/>
      <c r="ED110" s="409"/>
    </row>
    <row r="111" spans="1:134" ht="20.05" customHeight="1">
      <c r="A111" s="63"/>
      <c r="B111" s="739"/>
      <c r="C111" s="56">
        <f t="shared" si="16"/>
        <v>0</v>
      </c>
      <c r="D111" s="57">
        <f>SUM(PRIJZEN!T28/100*30)</f>
        <v>0.53400000000000003</v>
      </c>
      <c r="E111" s="610"/>
      <c r="F111" s="706"/>
      <c r="G111" s="997" t="s">
        <v>785</v>
      </c>
      <c r="H111" s="998"/>
      <c r="I111" s="999"/>
      <c r="J111" s="618"/>
      <c r="K111" s="607"/>
      <c r="L111" s="655" t="str">
        <f t="shared" si="17"/>
        <v/>
      </c>
      <c r="M111" s="119" t="s">
        <v>106</v>
      </c>
      <c r="N111" s="1015" t="str">
        <f t="shared" si="18"/>
        <v/>
      </c>
      <c r="O111" s="1016"/>
      <c r="P111" s="412"/>
      <c r="Q111" s="129">
        <f t="shared" si="15"/>
        <v>0</v>
      </c>
      <c r="R111" s="127"/>
      <c r="S111" s="125"/>
      <c r="T111" s="125"/>
      <c r="U111" s="125"/>
      <c r="V111" s="65"/>
      <c r="W111" s="201"/>
      <c r="X111" s="202"/>
      <c r="Y111" s="211"/>
      <c r="Z111" s="65"/>
      <c r="AA111" s="65"/>
      <c r="AB111" s="65"/>
      <c r="AC111" s="65"/>
      <c r="AD111" s="65"/>
      <c r="AE111" s="65"/>
      <c r="AF111" s="65"/>
      <c r="AG111" s="6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65"/>
      <c r="AX111" s="61"/>
      <c r="AY111" s="61"/>
      <c r="AZ111" s="61"/>
      <c r="BA111" s="805"/>
      <c r="BB111" s="61"/>
      <c r="BC111" s="61"/>
      <c r="BD111" s="61"/>
      <c r="BE111" s="205"/>
      <c r="BF111" s="65"/>
      <c r="BG111" s="65"/>
      <c r="BH111" s="205"/>
      <c r="BI111" s="65"/>
      <c r="BJ111" s="65"/>
      <c r="BK111" s="20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409"/>
      <c r="DH111" s="409"/>
      <c r="DI111" s="409"/>
      <c r="DJ111" s="409"/>
      <c r="DK111" s="409"/>
      <c r="DL111" s="409"/>
      <c r="DM111" s="409"/>
      <c r="DN111" s="409"/>
      <c r="DO111" s="409"/>
      <c r="DP111" s="409"/>
      <c r="DQ111" s="409"/>
      <c r="DR111" s="409"/>
      <c r="DS111" s="409"/>
      <c r="DT111" s="409"/>
      <c r="DU111" s="409"/>
      <c r="DV111" s="409"/>
      <c r="DW111" s="409"/>
      <c r="DX111" s="409"/>
      <c r="DY111" s="409"/>
      <c r="DZ111" s="409"/>
      <c r="EA111" s="409"/>
      <c r="EB111" s="409"/>
      <c r="EC111" s="409"/>
      <c r="ED111" s="409"/>
    </row>
    <row r="112" spans="1:134" ht="20.05" customHeight="1" thickBot="1">
      <c r="A112" s="636">
        <f>IFERROR($A$114/113,0)</f>
        <v>0</v>
      </c>
      <c r="B112" s="739"/>
      <c r="C112" s="56">
        <f t="shared" si="16"/>
        <v>0</v>
      </c>
      <c r="D112" s="57">
        <f>SUM(PRIJZEN!T29/100*30)</f>
        <v>0.53400000000000003</v>
      </c>
      <c r="E112" s="610"/>
      <c r="F112" s="706"/>
      <c r="G112" s="997" t="s">
        <v>786</v>
      </c>
      <c r="H112" s="998"/>
      <c r="I112" s="999"/>
      <c r="J112" s="618"/>
      <c r="K112" s="607"/>
      <c r="L112" s="655" t="str">
        <f t="shared" si="17"/>
        <v/>
      </c>
      <c r="M112" s="121" t="s">
        <v>106</v>
      </c>
      <c r="N112" s="1000" t="str">
        <f t="shared" si="18"/>
        <v/>
      </c>
      <c r="O112" s="1001"/>
      <c r="P112" s="412"/>
      <c r="Q112" s="129">
        <f t="shared" si="15"/>
        <v>0</v>
      </c>
      <c r="R112" s="127"/>
      <c r="S112" s="125"/>
      <c r="T112" s="125"/>
      <c r="U112" s="125"/>
      <c r="V112" s="65"/>
      <c r="W112" s="201"/>
      <c r="X112" s="202"/>
      <c r="Y112" s="211"/>
      <c r="Z112" s="65"/>
      <c r="AA112" s="65"/>
      <c r="AB112" s="65"/>
      <c r="AC112" s="65"/>
      <c r="AD112" s="65"/>
      <c r="AE112" s="65"/>
      <c r="AF112" s="65"/>
      <c r="AG112" s="6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65"/>
      <c r="AX112" s="61"/>
      <c r="AY112" s="61"/>
      <c r="AZ112" s="61"/>
      <c r="BA112" s="805"/>
      <c r="BB112" s="61"/>
      <c r="BC112" s="61"/>
      <c r="BD112" s="61"/>
      <c r="BE112" s="205"/>
      <c r="BF112" s="65"/>
      <c r="BG112" s="65"/>
      <c r="BH112" s="205"/>
      <c r="BI112" s="65"/>
      <c r="BJ112" s="65"/>
      <c r="BK112" s="20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409"/>
      <c r="DH112" s="409"/>
      <c r="DI112" s="409"/>
      <c r="DJ112" s="409"/>
      <c r="DK112" s="409"/>
      <c r="DL112" s="409"/>
      <c r="DM112" s="409"/>
      <c r="DN112" s="409"/>
      <c r="DO112" s="409"/>
      <c r="DP112" s="409"/>
      <c r="DQ112" s="409"/>
      <c r="DR112" s="409"/>
      <c r="DS112" s="409"/>
      <c r="DT112" s="409"/>
      <c r="DU112" s="409"/>
      <c r="DV112" s="409"/>
      <c r="DW112" s="409"/>
      <c r="DX112" s="409"/>
      <c r="DY112" s="409"/>
      <c r="DZ112" s="409"/>
      <c r="EA112" s="409"/>
      <c r="EB112" s="409"/>
      <c r="EC112" s="409"/>
      <c r="ED112" s="409"/>
    </row>
    <row r="113" spans="1:134" ht="20.05" customHeight="1">
      <c r="A113" s="632" t="s">
        <v>799</v>
      </c>
      <c r="B113" s="739"/>
      <c r="C113" s="56">
        <f t="shared" si="16"/>
        <v>0</v>
      </c>
      <c r="D113" s="57">
        <f>SUM(PRIJZEN!T30/100*30)</f>
        <v>0.53400000000000003</v>
      </c>
      <c r="E113" s="610"/>
      <c r="F113" s="706"/>
      <c r="G113" s="997" t="s">
        <v>719</v>
      </c>
      <c r="H113" s="998"/>
      <c r="I113" s="999"/>
      <c r="J113" s="618"/>
      <c r="K113" s="607"/>
      <c r="L113" s="654" t="str">
        <f t="shared" si="17"/>
        <v/>
      </c>
      <c r="M113" s="121" t="s">
        <v>106</v>
      </c>
      <c r="N113" s="1000" t="str">
        <f t="shared" si="18"/>
        <v/>
      </c>
      <c r="O113" s="1001"/>
      <c r="P113" s="412"/>
      <c r="Q113" s="129">
        <f t="shared" si="15"/>
        <v>0</v>
      </c>
      <c r="R113" s="127"/>
      <c r="S113" s="125"/>
      <c r="T113" s="125"/>
      <c r="U113" s="125"/>
      <c r="V113" s="65"/>
      <c r="W113" s="201"/>
      <c r="X113" s="202"/>
      <c r="Y113" s="211"/>
      <c r="Z113" s="65"/>
      <c r="AA113" s="65"/>
      <c r="AB113" s="65"/>
      <c r="AC113" s="65"/>
      <c r="AD113" s="65"/>
      <c r="AE113" s="65"/>
      <c r="AF113" s="65"/>
      <c r="AG113" s="6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65"/>
      <c r="AX113" s="61"/>
      <c r="AY113" s="61"/>
      <c r="AZ113" s="61"/>
      <c r="BA113" s="805"/>
      <c r="BB113" s="61"/>
      <c r="BC113" s="61"/>
      <c r="BD113" s="61"/>
      <c r="BE113" s="205"/>
      <c r="BF113" s="65"/>
      <c r="BG113" s="65"/>
      <c r="BH113" s="205"/>
      <c r="BI113" s="65"/>
      <c r="BJ113" s="65"/>
      <c r="BK113" s="20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409"/>
      <c r="DH113" s="409"/>
      <c r="DI113" s="409"/>
      <c r="DJ113" s="409"/>
      <c r="DK113" s="409"/>
      <c r="DL113" s="409"/>
      <c r="DM113" s="409"/>
      <c r="DN113" s="409"/>
      <c r="DO113" s="409"/>
      <c r="DP113" s="409"/>
      <c r="DQ113" s="409"/>
      <c r="DR113" s="409"/>
      <c r="DS113" s="409"/>
      <c r="DT113" s="409"/>
      <c r="DU113" s="409"/>
      <c r="DV113" s="409"/>
      <c r="DW113" s="409"/>
      <c r="DX113" s="409"/>
      <c r="DY113" s="409"/>
      <c r="DZ113" s="409"/>
      <c r="EA113" s="409"/>
      <c r="EB113" s="409"/>
      <c r="EC113" s="409"/>
      <c r="ED113" s="409"/>
    </row>
    <row r="114" spans="1:134" ht="20.05" customHeight="1">
      <c r="A114" s="630">
        <f>SUM(N66:O70)+SUM(N72:O74)+SUM(N83:O92)+SUM(N98:O117)+SUM(N77:O78)</f>
        <v>0</v>
      </c>
      <c r="B114" s="739"/>
      <c r="C114" s="56">
        <f t="shared" si="16"/>
        <v>0</v>
      </c>
      <c r="D114" s="57">
        <f>SUM(PRIJZEN!T31/100*30)</f>
        <v>0.53400000000000003</v>
      </c>
      <c r="E114" s="610"/>
      <c r="F114" s="706"/>
      <c r="G114" s="1019" t="s">
        <v>903</v>
      </c>
      <c r="H114" s="998"/>
      <c r="I114" s="999"/>
      <c r="J114" s="618"/>
      <c r="K114" s="607"/>
      <c r="L114" s="656" t="str">
        <f t="shared" si="17"/>
        <v/>
      </c>
      <c r="M114" s="121" t="s">
        <v>106</v>
      </c>
      <c r="N114" s="1017" t="str">
        <f t="shared" si="18"/>
        <v/>
      </c>
      <c r="O114" s="1018"/>
      <c r="P114" s="412"/>
      <c r="Q114" s="129">
        <f t="shared" si="15"/>
        <v>0</v>
      </c>
      <c r="R114" s="127"/>
      <c r="S114" s="125"/>
      <c r="T114" s="125"/>
      <c r="U114" s="125"/>
      <c r="V114" s="65"/>
      <c r="W114" s="201"/>
      <c r="X114" s="202"/>
      <c r="Y114" s="211"/>
      <c r="Z114" s="65"/>
      <c r="AA114" s="65"/>
      <c r="AB114" s="65"/>
      <c r="AC114" s="65"/>
      <c r="AD114" s="65"/>
      <c r="AE114" s="65"/>
      <c r="AF114" s="65"/>
      <c r="AG114" s="6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65"/>
      <c r="AX114" s="61"/>
      <c r="AY114" s="61"/>
      <c r="AZ114" s="61"/>
      <c r="BA114" s="805"/>
      <c r="BB114" s="61"/>
      <c r="BC114" s="61"/>
      <c r="BD114" s="61"/>
      <c r="BE114" s="205"/>
      <c r="BF114" s="65"/>
      <c r="BG114" s="65"/>
      <c r="BH114" s="205"/>
      <c r="BI114" s="65"/>
      <c r="BJ114" s="65"/>
      <c r="BK114" s="20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409"/>
      <c r="DH114" s="409"/>
      <c r="DI114" s="409"/>
      <c r="DJ114" s="409"/>
      <c r="DK114" s="409"/>
      <c r="DL114" s="409"/>
      <c r="DM114" s="409"/>
      <c r="DN114" s="409"/>
      <c r="DO114" s="409"/>
      <c r="DP114" s="409"/>
      <c r="DQ114" s="409"/>
      <c r="DR114" s="409"/>
      <c r="DS114" s="409"/>
      <c r="DT114" s="409"/>
      <c r="DU114" s="409"/>
      <c r="DV114" s="409"/>
      <c r="DW114" s="409"/>
      <c r="DX114" s="409"/>
      <c r="DY114" s="409"/>
      <c r="DZ114" s="409"/>
      <c r="EA114" s="409"/>
      <c r="EB114" s="409"/>
      <c r="EC114" s="409"/>
      <c r="ED114" s="409"/>
    </row>
    <row r="115" spans="1:134" ht="20.05" customHeight="1">
      <c r="A115" s="633" t="s">
        <v>800</v>
      </c>
      <c r="B115" s="739"/>
      <c r="C115" s="56">
        <f t="shared" si="16"/>
        <v>0</v>
      </c>
      <c r="D115" s="57">
        <f>SUM(PRIJZEN!T32/100*30)</f>
        <v>0.53400000000000003</v>
      </c>
      <c r="E115" s="610"/>
      <c r="F115" s="706"/>
      <c r="G115" s="997" t="s">
        <v>810</v>
      </c>
      <c r="H115" s="998"/>
      <c r="I115" s="999"/>
      <c r="J115" s="618"/>
      <c r="K115" s="607"/>
      <c r="L115" s="656" t="str">
        <f t="shared" si="17"/>
        <v/>
      </c>
      <c r="M115" s="622" t="s">
        <v>106</v>
      </c>
      <c r="N115" s="1000" t="str">
        <f t="shared" si="18"/>
        <v/>
      </c>
      <c r="O115" s="1001"/>
      <c r="P115" s="412"/>
      <c r="Q115" s="129">
        <f t="shared" si="15"/>
        <v>0</v>
      </c>
      <c r="R115" s="127"/>
      <c r="S115" s="125"/>
      <c r="T115" s="125"/>
      <c r="U115" s="125"/>
      <c r="V115" s="65"/>
      <c r="W115" s="201"/>
      <c r="X115" s="202"/>
      <c r="Y115" s="211"/>
      <c r="Z115" s="65"/>
      <c r="AA115" s="65"/>
      <c r="AB115" s="65"/>
      <c r="AC115" s="65"/>
      <c r="AD115" s="65"/>
      <c r="AE115" s="65"/>
      <c r="AF115" s="65"/>
      <c r="AG115" s="6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65"/>
      <c r="AX115" s="61"/>
      <c r="AY115" s="61"/>
      <c r="AZ115" s="61"/>
      <c r="BA115" s="805"/>
      <c r="BB115" s="61"/>
      <c r="BC115" s="61"/>
      <c r="BD115" s="61"/>
      <c r="BE115" s="205"/>
      <c r="BF115" s="65"/>
      <c r="BG115" s="65"/>
      <c r="BH115" s="205"/>
      <c r="BI115" s="65"/>
      <c r="BJ115" s="65"/>
      <c r="BK115" s="20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409"/>
      <c r="DH115" s="409"/>
      <c r="DI115" s="409"/>
      <c r="DJ115" s="409"/>
      <c r="DK115" s="409"/>
      <c r="DL115" s="409"/>
      <c r="DM115" s="409"/>
      <c r="DN115" s="409"/>
      <c r="DO115" s="409"/>
      <c r="DP115" s="409"/>
      <c r="DQ115" s="409"/>
      <c r="DR115" s="409"/>
      <c r="DS115" s="409"/>
      <c r="DT115" s="409"/>
      <c r="DU115" s="409"/>
      <c r="DV115" s="409"/>
      <c r="DW115" s="409"/>
      <c r="DX115" s="409"/>
      <c r="DY115" s="409"/>
      <c r="DZ115" s="409"/>
      <c r="EA115" s="409"/>
      <c r="EB115" s="409"/>
      <c r="EC115" s="409"/>
      <c r="ED115" s="409"/>
    </row>
    <row r="116" spans="1:134" ht="20.05" customHeight="1">
      <c r="A116" s="629">
        <f>SUM(J66:J70)</f>
        <v>0</v>
      </c>
      <c r="B116" s="739"/>
      <c r="C116" s="56">
        <f t="shared" si="16"/>
        <v>0</v>
      </c>
      <c r="D116" s="57">
        <f>SUM(PRIJZEN!T33/100*30)</f>
        <v>0.53400000000000003</v>
      </c>
      <c r="E116" s="610"/>
      <c r="F116" s="706"/>
      <c r="G116" s="997" t="s">
        <v>787</v>
      </c>
      <c r="H116" s="998"/>
      <c r="I116" s="999"/>
      <c r="J116" s="618"/>
      <c r="K116" s="607"/>
      <c r="L116" s="655" t="str">
        <f t="shared" si="17"/>
        <v/>
      </c>
      <c r="M116" s="622" t="s">
        <v>106</v>
      </c>
      <c r="N116" s="1000" t="str">
        <f t="shared" si="18"/>
        <v/>
      </c>
      <c r="O116" s="1001"/>
      <c r="P116" s="412"/>
      <c r="Q116" s="129">
        <f t="shared" si="15"/>
        <v>0</v>
      </c>
      <c r="R116" s="127"/>
      <c r="S116" s="125"/>
      <c r="T116" s="125"/>
      <c r="U116" s="125"/>
      <c r="V116" s="65"/>
      <c r="W116" s="201"/>
      <c r="X116" s="202"/>
      <c r="Y116" s="211"/>
      <c r="Z116" s="65"/>
      <c r="AA116" s="65"/>
      <c r="AB116" s="65"/>
      <c r="AC116" s="65"/>
      <c r="AD116" s="65"/>
      <c r="AE116" s="65"/>
      <c r="AF116" s="65"/>
      <c r="AG116" s="6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805"/>
      <c r="AU116" s="805"/>
      <c r="AV116" s="805"/>
      <c r="AW116" s="61"/>
      <c r="AX116" s="61"/>
      <c r="AY116" s="61"/>
      <c r="AZ116" s="61"/>
      <c r="BA116" s="805"/>
      <c r="BB116" s="61"/>
      <c r="BC116" s="61"/>
      <c r="BD116" s="61"/>
      <c r="BE116" s="805"/>
      <c r="BF116" s="65"/>
      <c r="BG116" s="65"/>
      <c r="BH116" s="205"/>
      <c r="BI116" s="65"/>
      <c r="BJ116" s="65"/>
      <c r="BK116" s="20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409"/>
      <c r="DH116" s="409"/>
      <c r="DI116" s="409"/>
      <c r="DJ116" s="409"/>
      <c r="DK116" s="409"/>
      <c r="DL116" s="409"/>
      <c r="DM116" s="409"/>
      <c r="DN116" s="409"/>
      <c r="DO116" s="409"/>
      <c r="DP116" s="409"/>
      <c r="DQ116" s="409"/>
      <c r="DR116" s="409"/>
      <c r="DS116" s="409"/>
      <c r="DT116" s="409"/>
      <c r="DU116" s="409"/>
      <c r="DV116" s="409"/>
      <c r="DW116" s="409"/>
      <c r="DX116" s="409"/>
      <c r="DY116" s="409"/>
      <c r="DZ116" s="409"/>
      <c r="EA116" s="409"/>
      <c r="EB116" s="409"/>
      <c r="EC116" s="409"/>
      <c r="ED116" s="409"/>
    </row>
    <row r="117" spans="1:134" ht="20.05" customHeight="1">
      <c r="A117" s="634" t="s">
        <v>801</v>
      </c>
      <c r="B117" s="746"/>
      <c r="C117" s="56">
        <f t="shared" si="16"/>
        <v>0</v>
      </c>
      <c r="D117" s="57">
        <f>SUM(PRIJZEN!T34/100*30)</f>
        <v>0.53400000000000003</v>
      </c>
      <c r="E117" s="610"/>
      <c r="F117" s="706"/>
      <c r="G117" s="1012" t="s">
        <v>788</v>
      </c>
      <c r="H117" s="1013"/>
      <c r="I117" s="1014"/>
      <c r="J117" s="619"/>
      <c r="K117" s="621"/>
      <c r="L117" s="654" t="str">
        <f t="shared" si="17"/>
        <v/>
      </c>
      <c r="M117" s="624" t="s">
        <v>106</v>
      </c>
      <c r="N117" s="1002" t="str">
        <f t="shared" si="18"/>
        <v/>
      </c>
      <c r="O117" s="1003"/>
      <c r="P117" s="412"/>
      <c r="Q117" s="129">
        <f t="shared" si="15"/>
        <v>0</v>
      </c>
      <c r="R117" s="127"/>
      <c r="S117" s="125"/>
      <c r="T117" s="125"/>
      <c r="U117" s="125"/>
      <c r="V117" s="65"/>
      <c r="W117" s="201"/>
      <c r="X117" s="202"/>
      <c r="Y117" s="211"/>
      <c r="Z117" s="65"/>
      <c r="AA117" s="65"/>
      <c r="AB117" s="65"/>
      <c r="AC117" s="65"/>
      <c r="AD117" s="65"/>
      <c r="AE117" s="65"/>
      <c r="AF117" s="65"/>
      <c r="AG117" s="6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805"/>
      <c r="AU117" s="805"/>
      <c r="AV117" s="805"/>
      <c r="AW117" s="61"/>
      <c r="AX117" s="61"/>
      <c r="AY117" s="61"/>
      <c r="AZ117" s="61"/>
      <c r="BA117" s="805"/>
      <c r="BB117" s="61"/>
      <c r="BC117" s="61"/>
      <c r="BD117" s="61"/>
      <c r="BE117" s="805"/>
      <c r="BF117" s="65"/>
      <c r="BG117" s="65"/>
      <c r="BH117" s="205"/>
      <c r="BI117" s="65"/>
      <c r="BJ117" s="65"/>
      <c r="BK117" s="20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409"/>
      <c r="DH117" s="409"/>
      <c r="DI117" s="409"/>
      <c r="DJ117" s="409"/>
      <c r="DK117" s="409"/>
      <c r="DL117" s="409"/>
      <c r="DM117" s="409"/>
      <c r="DN117" s="409"/>
      <c r="DO117" s="409"/>
      <c r="DP117" s="409"/>
      <c r="DQ117" s="409"/>
      <c r="DR117" s="409"/>
      <c r="DS117" s="409"/>
      <c r="DT117" s="409"/>
      <c r="DU117" s="409"/>
      <c r="DV117" s="409"/>
      <c r="DW117" s="409"/>
      <c r="DX117" s="409"/>
      <c r="DY117" s="409"/>
      <c r="DZ117" s="409"/>
      <c r="EA117" s="409"/>
      <c r="EB117" s="409"/>
      <c r="EC117" s="409"/>
      <c r="ED117" s="409"/>
    </row>
    <row r="118" spans="1:134" ht="20.05" customHeight="1" thickBot="1">
      <c r="A118" s="631">
        <f>IF(A112=0,0,A119)</f>
        <v>0</v>
      </c>
      <c r="B118" s="615"/>
      <c r="C118" s="616"/>
      <c r="D118" s="610"/>
      <c r="E118" s="610"/>
      <c r="F118" s="706"/>
      <c r="G118" s="1004" t="s">
        <v>870</v>
      </c>
      <c r="H118" s="1005"/>
      <c r="I118" s="1005"/>
      <c r="J118" s="1005"/>
      <c r="K118" s="1006"/>
      <c r="L118" s="1008">
        <f>SUM(N98:O117)</f>
        <v>0</v>
      </c>
      <c r="M118" s="1007"/>
      <c r="N118" s="814"/>
      <c r="O118" s="606"/>
      <c r="P118" s="412"/>
      <c r="Q118" s="129"/>
      <c r="R118" s="127"/>
      <c r="S118" s="125"/>
      <c r="T118" s="125"/>
      <c r="U118" s="125"/>
      <c r="V118" s="65"/>
      <c r="W118" s="201"/>
      <c r="X118" s="202"/>
      <c r="Y118" s="211"/>
      <c r="Z118" s="65"/>
      <c r="AA118" s="65"/>
      <c r="AB118" s="65"/>
      <c r="AC118" s="65"/>
      <c r="AD118" s="65"/>
      <c r="AE118" s="65"/>
      <c r="AF118" s="65"/>
      <c r="AG118" s="6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805"/>
      <c r="AU118" s="805"/>
      <c r="AV118" s="805"/>
      <c r="AW118" s="61"/>
      <c r="AX118" s="61"/>
      <c r="AY118" s="61"/>
      <c r="AZ118" s="61"/>
      <c r="BA118" s="805"/>
      <c r="BB118" s="61"/>
      <c r="BC118" s="61"/>
      <c r="BD118" s="61"/>
      <c r="BE118" s="805"/>
      <c r="BF118" s="65"/>
      <c r="BG118" s="65"/>
      <c r="BH118" s="205"/>
      <c r="BI118" s="65"/>
      <c r="BJ118" s="65"/>
      <c r="BK118" s="20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409"/>
      <c r="DH118" s="409"/>
      <c r="DI118" s="409"/>
      <c r="DJ118" s="409"/>
      <c r="DK118" s="409"/>
      <c r="DL118" s="409"/>
      <c r="DM118" s="409"/>
      <c r="DN118" s="409"/>
      <c r="DO118" s="409"/>
      <c r="DP118" s="409"/>
      <c r="DQ118" s="409"/>
      <c r="DR118" s="409"/>
      <c r="DS118" s="409"/>
      <c r="DT118" s="409"/>
      <c r="DU118" s="409"/>
      <c r="DV118" s="409"/>
      <c r="DW118" s="409"/>
      <c r="DX118" s="409"/>
      <c r="DY118" s="409"/>
      <c r="DZ118" s="409"/>
      <c r="EA118" s="409"/>
      <c r="EB118" s="409"/>
      <c r="EC118" s="409"/>
      <c r="ED118" s="409"/>
    </row>
    <row r="119" spans="1:134" ht="21.9" customHeight="1">
      <c r="A119" s="637" t="e">
        <f>SUM(A114/A116)</f>
        <v>#DIV/0!</v>
      </c>
      <c r="B119" s="677" t="s">
        <v>114</v>
      </c>
      <c r="C119" s="1170" t="s">
        <v>51</v>
      </c>
      <c r="D119" s="1171"/>
      <c r="E119" s="1171"/>
      <c r="F119" s="1171"/>
      <c r="G119" s="1171"/>
      <c r="H119" s="1171"/>
      <c r="I119" s="1171"/>
      <c r="J119" s="1171"/>
      <c r="K119" s="1171"/>
      <c r="L119" s="1171"/>
      <c r="M119" s="1171"/>
      <c r="N119" s="1171"/>
      <c r="O119" s="1172"/>
      <c r="P119" s="187"/>
      <c r="Q119" s="125"/>
      <c r="R119" s="125"/>
      <c r="S119" s="125"/>
      <c r="T119" s="125"/>
      <c r="U119" s="125"/>
      <c r="V119" s="65"/>
      <c r="W119" s="201"/>
      <c r="X119" s="202"/>
      <c r="Y119" s="211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1"/>
      <c r="AU119" s="61"/>
      <c r="AV119" s="61"/>
      <c r="AW119" s="61"/>
      <c r="AX119" s="61"/>
      <c r="AY119" s="61"/>
      <c r="AZ119" s="61"/>
      <c r="BA119" s="805"/>
      <c r="BB119" s="61"/>
      <c r="BC119" s="61"/>
      <c r="BD119" s="61"/>
      <c r="BE119" s="805"/>
      <c r="BF119" s="65"/>
      <c r="BG119" s="65"/>
      <c r="BH119" s="205"/>
      <c r="BI119" s="65"/>
      <c r="BJ119" s="65"/>
      <c r="BK119" s="20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409"/>
      <c r="DH119" s="409"/>
      <c r="DI119" s="409"/>
      <c r="DJ119" s="409"/>
      <c r="DK119" s="409"/>
      <c r="DL119" s="409"/>
      <c r="DM119" s="409"/>
      <c r="DN119" s="409"/>
      <c r="DO119" s="409"/>
      <c r="DP119" s="409"/>
      <c r="DQ119" s="409"/>
      <c r="DR119" s="409"/>
      <c r="DS119" s="409"/>
      <c r="DT119" s="409"/>
      <c r="DU119" s="409"/>
      <c r="DV119" s="409"/>
      <c r="DW119" s="409"/>
      <c r="DX119" s="409"/>
      <c r="DY119" s="409"/>
      <c r="DZ119" s="409"/>
      <c r="EA119" s="409"/>
      <c r="EB119" s="409"/>
      <c r="EC119" s="409"/>
      <c r="ED119" s="409"/>
    </row>
    <row r="120" spans="1:134">
      <c r="A120" s="635"/>
      <c r="B120" s="1194" t="str">
        <f>IF(T123="Kies 1, 2 of 4","Kies 1, 2 of 4","Kies 1, 3 of 5")</f>
        <v>Kies 1, 3 of 5</v>
      </c>
      <c r="C120" s="1194"/>
      <c r="D120" s="1194" t="str">
        <f>IF(T124="Kies 1, 2 of 4","Kies 1, 2 of 4","Kies 1, 3 of 5")</f>
        <v>Kies 1, 3 of 5</v>
      </c>
      <c r="E120" s="1194"/>
      <c r="F120" s="1194" t="str">
        <f>IF(T125="Kies 1, 2 of 4","Kies 1, 2 of 4","Kies 1, 3 of 5")</f>
        <v>Kies 1, 3 of 5</v>
      </c>
      <c r="G120" s="1194"/>
      <c r="H120" s="1194" t="str">
        <f>IF(T126="Kies 1, 2 of 4","Kies 1, 2 of 4","Kies 1, 3 of 5")</f>
        <v>Kies 1, 3 of 5</v>
      </c>
      <c r="I120" s="1194"/>
      <c r="J120" s="1194" t="str">
        <f>IF(T127="Kies 1, 2 of 4","Kies 1, 2 of 4","Kies 1, 3 of 5")</f>
        <v>Kies 1, 3 of 5</v>
      </c>
      <c r="K120" s="1194"/>
      <c r="L120" s="1194"/>
      <c r="M120" s="725"/>
      <c r="N120" s="724"/>
      <c r="O120" s="725"/>
      <c r="P120" s="110"/>
      <c r="Q120" s="110"/>
      <c r="R120" s="67"/>
      <c r="S120" s="65"/>
      <c r="T120" s="65"/>
      <c r="U120" s="65"/>
      <c r="V120" s="65"/>
      <c r="W120" s="67"/>
      <c r="X120" s="206"/>
      <c r="Y120" s="206"/>
      <c r="Z120" s="67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1"/>
      <c r="AU120" s="61"/>
      <c r="AV120" s="61"/>
      <c r="AW120" s="61"/>
      <c r="AX120" s="61"/>
      <c r="AY120" s="61"/>
      <c r="AZ120" s="61"/>
      <c r="BA120" s="805"/>
      <c r="BB120" s="61"/>
      <c r="BC120" s="61"/>
      <c r="BD120" s="61"/>
      <c r="BE120" s="805"/>
      <c r="BF120" s="65"/>
      <c r="BG120" s="65"/>
      <c r="BH120" s="205"/>
      <c r="BI120" s="65"/>
      <c r="BJ120" s="65"/>
      <c r="BK120" s="20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409"/>
      <c r="DH120" s="409"/>
      <c r="DI120" s="409"/>
      <c r="DJ120" s="409"/>
      <c r="DK120" s="409"/>
      <c r="DL120" s="409"/>
      <c r="DM120" s="409"/>
      <c r="DN120" s="409"/>
      <c r="DO120" s="409"/>
      <c r="DP120" s="409"/>
      <c r="DQ120" s="409"/>
      <c r="DR120" s="409"/>
      <c r="DS120" s="409"/>
      <c r="DT120" s="409"/>
      <c r="DU120" s="409"/>
      <c r="DV120" s="409"/>
      <c r="DW120" s="409"/>
      <c r="DX120" s="409"/>
      <c r="DY120" s="409"/>
      <c r="DZ120" s="409"/>
      <c r="EA120" s="409"/>
      <c r="EB120" s="409"/>
      <c r="EC120" s="409"/>
      <c r="ED120" s="409"/>
    </row>
    <row r="121" spans="1:134" ht="24.7" customHeight="1">
      <c r="A121" s="63"/>
      <c r="B121" s="747"/>
      <c r="C121" s="1260" t="s">
        <v>91</v>
      </c>
      <c r="D121" s="1260"/>
      <c r="E121" s="1260"/>
      <c r="F121" s="1260"/>
      <c r="G121" s="1260"/>
      <c r="H121" s="1260"/>
      <c r="I121" s="1260"/>
      <c r="J121" s="1260"/>
      <c r="K121" s="1260"/>
      <c r="L121" s="1260"/>
      <c r="M121" s="1260"/>
      <c r="N121" s="748"/>
      <c r="O121" s="749"/>
      <c r="P121" s="154"/>
      <c r="Q121" s="421"/>
      <c r="R121" s="67"/>
      <c r="S121" s="65"/>
      <c r="T121" s="65"/>
      <c r="U121" s="65"/>
      <c r="V121" s="65" t="s">
        <v>657</v>
      </c>
      <c r="W121" s="65"/>
      <c r="X121" s="65"/>
      <c r="Y121" s="212"/>
      <c r="Z121" s="67"/>
      <c r="AA121" s="207" t="s">
        <v>97</v>
      </c>
      <c r="AB121" s="66"/>
      <c r="AC121" s="66"/>
      <c r="AD121" s="207" t="s">
        <v>98</v>
      </c>
      <c r="AE121" s="208"/>
      <c r="AF121" s="208"/>
      <c r="AG121" s="207" t="s">
        <v>99</v>
      </c>
      <c r="AH121" s="66"/>
      <c r="AI121" s="66"/>
      <c r="AJ121" s="207" t="s">
        <v>100</v>
      </c>
      <c r="AK121" s="207"/>
      <c r="AL121" s="66"/>
      <c r="AM121" s="207" t="s">
        <v>101</v>
      </c>
      <c r="AN121" s="66"/>
      <c r="AO121" s="66"/>
      <c r="AP121" s="66"/>
      <c r="AQ121" s="66"/>
      <c r="AR121" s="66"/>
      <c r="AS121" s="66"/>
      <c r="AT121" s="808"/>
      <c r="AU121" s="808"/>
      <c r="AV121" s="61"/>
      <c r="AW121" s="811" t="s">
        <v>96</v>
      </c>
      <c r="AX121" s="61"/>
      <c r="AY121" s="61"/>
      <c r="AZ121" s="61"/>
      <c r="BA121" s="805"/>
      <c r="BB121" s="61"/>
      <c r="BC121" s="61"/>
      <c r="BD121" s="61"/>
      <c r="BE121" s="805"/>
      <c r="BF121" s="66"/>
      <c r="BG121" s="66"/>
      <c r="BH121" s="205"/>
      <c r="BI121" s="66"/>
      <c r="BJ121" s="66"/>
      <c r="BK121" s="205"/>
      <c r="BL121" s="66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409"/>
      <c r="DH121" s="409"/>
      <c r="DI121" s="409"/>
      <c r="DJ121" s="409"/>
      <c r="DK121" s="409"/>
      <c r="DL121" s="409"/>
      <c r="DM121" s="409"/>
      <c r="DN121" s="409"/>
      <c r="DO121" s="409"/>
      <c r="DP121" s="409"/>
      <c r="DQ121" s="409"/>
      <c r="DR121" s="409"/>
      <c r="DS121" s="409"/>
      <c r="DT121" s="409"/>
      <c r="DU121" s="409"/>
      <c r="DV121" s="409"/>
      <c r="DW121" s="409"/>
      <c r="DX121" s="409"/>
      <c r="DY121" s="409"/>
      <c r="DZ121" s="409"/>
      <c r="EA121" s="409"/>
      <c r="EB121" s="409"/>
      <c r="EC121" s="409"/>
      <c r="ED121" s="409"/>
    </row>
    <row r="122" spans="1:134" ht="18.75" customHeight="1">
      <c r="A122" s="63"/>
      <c r="B122" s="1197" t="s">
        <v>658</v>
      </c>
      <c r="C122" s="1197"/>
      <c r="D122" s="1197" t="s">
        <v>659</v>
      </c>
      <c r="E122" s="1197"/>
      <c r="F122" s="1197" t="s">
        <v>660</v>
      </c>
      <c r="G122" s="1197"/>
      <c r="H122" s="1197" t="s">
        <v>661</v>
      </c>
      <c r="I122" s="1197"/>
      <c r="J122" s="1197" t="s">
        <v>662</v>
      </c>
      <c r="K122" s="1197"/>
      <c r="L122" s="1198"/>
      <c r="M122" s="141"/>
      <c r="N122" s="161"/>
      <c r="O122" s="162"/>
      <c r="P122" s="209"/>
      <c r="Q122" s="209"/>
      <c r="R122" s="67"/>
      <c r="S122" s="65"/>
      <c r="T122" s="65"/>
      <c r="U122" s="65"/>
      <c r="V122" s="65">
        <v>1</v>
      </c>
      <c r="W122" s="65"/>
      <c r="X122" s="65"/>
      <c r="Y122" s="65"/>
      <c r="Z122" s="67"/>
      <c r="AA122" s="67"/>
      <c r="AB122" s="65"/>
      <c r="AC122" s="65"/>
      <c r="AD122" s="67"/>
      <c r="AE122" s="206"/>
      <c r="AF122" s="206"/>
      <c r="AG122" s="67"/>
      <c r="AH122" s="65"/>
      <c r="AI122" s="65"/>
      <c r="AJ122" s="67"/>
      <c r="AK122" s="207"/>
      <c r="AL122" s="65"/>
      <c r="AM122" s="67"/>
      <c r="AN122" s="65"/>
      <c r="AO122" s="65"/>
      <c r="AP122" s="65"/>
      <c r="AQ122" s="65"/>
      <c r="AR122" s="65"/>
      <c r="AS122" s="65"/>
      <c r="AT122" s="61"/>
      <c r="AU122" s="61"/>
      <c r="AV122" s="61"/>
      <c r="AW122" s="804">
        <v>1</v>
      </c>
      <c r="AX122" s="61"/>
      <c r="AY122" s="61"/>
      <c r="AZ122" s="61"/>
      <c r="BA122" s="805"/>
      <c r="BB122" s="61"/>
      <c r="BC122" s="61"/>
      <c r="BD122" s="61"/>
      <c r="BE122" s="806"/>
      <c r="BF122" s="202"/>
      <c r="BG122" s="202"/>
      <c r="BH122" s="213"/>
      <c r="BI122" s="65"/>
      <c r="BJ122" s="65"/>
      <c r="BK122" s="213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409"/>
      <c r="DH122" s="409"/>
      <c r="DI122" s="409"/>
      <c r="DJ122" s="409"/>
      <c r="DK122" s="409"/>
      <c r="DL122" s="409"/>
      <c r="DM122" s="409"/>
      <c r="DN122" s="409"/>
      <c r="DO122" s="409"/>
      <c r="DP122" s="409"/>
      <c r="DQ122" s="409"/>
      <c r="DR122" s="409"/>
      <c r="DS122" s="409"/>
      <c r="DT122" s="409"/>
      <c r="DU122" s="409"/>
      <c r="DV122" s="409"/>
      <c r="DW122" s="409"/>
      <c r="DX122" s="409"/>
      <c r="DY122" s="409"/>
      <c r="DZ122" s="409"/>
      <c r="EA122" s="409"/>
      <c r="EB122" s="409"/>
      <c r="EC122" s="409"/>
      <c r="ED122" s="409"/>
    </row>
    <row r="123" spans="1:134" ht="20.05" customHeight="1">
      <c r="A123" s="638" t="s">
        <v>664</v>
      </c>
      <c r="B123" s="1195" t="s">
        <v>95</v>
      </c>
      <c r="C123" s="1196"/>
      <c r="D123" s="1195" t="s">
        <v>95</v>
      </c>
      <c r="E123" s="1196"/>
      <c r="F123" s="1195" t="s">
        <v>95</v>
      </c>
      <c r="G123" s="1196"/>
      <c r="H123" s="1195" t="s">
        <v>95</v>
      </c>
      <c r="I123" s="1196"/>
      <c r="J123" s="1199" t="s">
        <v>95</v>
      </c>
      <c r="K123" s="1199"/>
      <c r="L123" s="1196"/>
      <c r="M123" s="142"/>
      <c r="N123" s="1062" t="str">
        <f>IF(B123=$V$58,"",SUM($Q123:$S123))</f>
        <v/>
      </c>
      <c r="O123" s="1063"/>
      <c r="P123" s="359"/>
      <c r="Q123" s="529">
        <f>IF($B123=$V$60,$Y$60*$B$124,0)</f>
        <v>0</v>
      </c>
      <c r="R123" s="529">
        <f>IF($B123=$V$61,$Y$61*$B$124,0)</f>
        <v>0</v>
      </c>
      <c r="S123" s="529">
        <f>IF($B123=$V$62,$Y$62*$B$124,0)</f>
        <v>0</v>
      </c>
      <c r="T123" s="210">
        <f>IF($B$123=$V$60,"Kies 1, 2 of 4",0)</f>
        <v>0</v>
      </c>
      <c r="U123" s="578"/>
      <c r="V123" s="65">
        <v>2</v>
      </c>
      <c r="W123" s="65"/>
      <c r="X123" s="65"/>
      <c r="Y123" s="65"/>
      <c r="Z123" s="201"/>
      <c r="AA123" s="67" t="s">
        <v>52</v>
      </c>
      <c r="AB123" s="65"/>
      <c r="AC123" s="65"/>
      <c r="AD123" s="67" t="s">
        <v>52</v>
      </c>
      <c r="AE123" s="206"/>
      <c r="AF123" s="206"/>
      <c r="AG123" s="67" t="s">
        <v>52</v>
      </c>
      <c r="AH123" s="65"/>
      <c r="AI123" s="65"/>
      <c r="AJ123" s="67" t="s">
        <v>52</v>
      </c>
      <c r="AK123" s="67"/>
      <c r="AL123" s="65"/>
      <c r="AM123" s="67" t="s">
        <v>52</v>
      </c>
      <c r="AN123" s="65"/>
      <c r="AO123" s="65"/>
      <c r="AP123" s="65"/>
      <c r="AQ123" s="65"/>
      <c r="AR123" s="65"/>
      <c r="AS123" s="65"/>
      <c r="AT123" s="61"/>
      <c r="AU123" s="61"/>
      <c r="AV123" s="61"/>
      <c r="AW123" s="804">
        <v>2</v>
      </c>
      <c r="AX123" s="61"/>
      <c r="AY123" s="61"/>
      <c r="AZ123" s="61"/>
      <c r="BA123" s="806"/>
      <c r="BB123" s="61"/>
      <c r="BC123" s="61"/>
      <c r="BD123" s="61"/>
      <c r="BE123" s="804"/>
      <c r="BF123" s="202"/>
      <c r="BG123" s="202"/>
      <c r="BH123" s="202"/>
      <c r="BI123" s="65"/>
      <c r="BJ123" s="65"/>
      <c r="BK123" s="202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409"/>
      <c r="DH123" s="409"/>
      <c r="DI123" s="409"/>
      <c r="DJ123" s="409"/>
      <c r="DK123" s="409"/>
      <c r="DL123" s="409"/>
      <c r="DM123" s="409"/>
      <c r="DN123" s="409"/>
      <c r="DO123" s="409"/>
      <c r="DP123" s="409"/>
      <c r="DQ123" s="409"/>
      <c r="DR123" s="409"/>
      <c r="DS123" s="409"/>
      <c r="DT123" s="409"/>
      <c r="DU123" s="409"/>
      <c r="DV123" s="409"/>
      <c r="DW123" s="409"/>
      <c r="DX123" s="409"/>
      <c r="DY123" s="409"/>
      <c r="DZ123" s="409"/>
      <c r="EA123" s="409"/>
      <c r="EB123" s="409"/>
      <c r="EC123" s="409"/>
      <c r="ED123" s="409"/>
    </row>
    <row r="124" spans="1:134" ht="20.05" customHeight="1">
      <c r="A124" s="638" t="s">
        <v>664</v>
      </c>
      <c r="B124" s="1040" t="s">
        <v>663</v>
      </c>
      <c r="C124" s="1041"/>
      <c r="D124" s="1040" t="s">
        <v>663</v>
      </c>
      <c r="E124" s="1041"/>
      <c r="F124" s="1040" t="s">
        <v>663</v>
      </c>
      <c r="G124" s="1041"/>
      <c r="H124" s="1040" t="s">
        <v>663</v>
      </c>
      <c r="I124" s="1041"/>
      <c r="J124" s="1040" t="s">
        <v>663</v>
      </c>
      <c r="K124" s="1042"/>
      <c r="L124" s="1041"/>
      <c r="M124" s="142"/>
      <c r="N124" s="1043" t="str">
        <f>IF(D$123=$V$58,"",SUM($Q124:$S124))</f>
        <v/>
      </c>
      <c r="O124" s="1044"/>
      <c r="P124" s="359"/>
      <c r="Q124" s="529">
        <f>IF($D123=$V$60,$Y$60*$D$124,0)</f>
        <v>0</v>
      </c>
      <c r="R124" s="529">
        <f>IF($D123=$V$61,$Y$61*$D$124,0)</f>
        <v>0</v>
      </c>
      <c r="S124" s="529">
        <f>IF($D123=$V$62,$Y$62*$D$124,0)</f>
        <v>0</v>
      </c>
      <c r="T124" s="210">
        <f>IF($D$123=$V$60,"Kies 1, 2 of 4",0)</f>
        <v>0</v>
      </c>
      <c r="U124" s="413"/>
      <c r="V124" s="65">
        <v>3</v>
      </c>
      <c r="W124" s="67"/>
      <c r="X124" s="206"/>
      <c r="Y124" s="206"/>
      <c r="Z124" s="201"/>
      <c r="AA124" s="67" t="s">
        <v>53</v>
      </c>
      <c r="AB124" s="65"/>
      <c r="AC124" s="65"/>
      <c r="AD124" s="67" t="s">
        <v>53</v>
      </c>
      <c r="AE124" s="206"/>
      <c r="AF124" s="206"/>
      <c r="AG124" s="67" t="s">
        <v>53</v>
      </c>
      <c r="AH124" s="65"/>
      <c r="AI124" s="65"/>
      <c r="AJ124" s="67" t="s">
        <v>53</v>
      </c>
      <c r="AK124" s="67"/>
      <c r="AL124" s="65"/>
      <c r="AM124" s="67" t="s">
        <v>53</v>
      </c>
      <c r="AN124" s="65"/>
      <c r="AO124" s="65"/>
      <c r="AP124" s="65"/>
      <c r="AQ124" s="65"/>
      <c r="AR124" s="65"/>
      <c r="AS124" s="65"/>
      <c r="AT124" s="61"/>
      <c r="AU124" s="61"/>
      <c r="AV124" s="61"/>
      <c r="AW124" s="804">
        <v>3</v>
      </c>
      <c r="AX124" s="61"/>
      <c r="AY124" s="61"/>
      <c r="AZ124" s="61"/>
      <c r="BA124" s="804"/>
      <c r="BB124" s="61"/>
      <c r="BC124" s="61"/>
      <c r="BD124" s="61"/>
      <c r="BE124" s="804"/>
      <c r="BF124" s="202"/>
      <c r="BG124" s="202"/>
      <c r="BH124" s="202"/>
      <c r="BI124" s="65"/>
      <c r="BJ124" s="65"/>
      <c r="BK124" s="202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409"/>
      <c r="DH124" s="409"/>
      <c r="DI124" s="409"/>
      <c r="DJ124" s="409"/>
      <c r="DK124" s="409"/>
      <c r="DL124" s="409"/>
      <c r="DM124" s="409"/>
      <c r="DN124" s="409"/>
      <c r="DO124" s="409"/>
      <c r="DP124" s="409"/>
      <c r="DQ124" s="409"/>
      <c r="DR124" s="409"/>
      <c r="DS124" s="409"/>
      <c r="DT124" s="409"/>
      <c r="DU124" s="409"/>
      <c r="DV124" s="409"/>
      <c r="DW124" s="409"/>
      <c r="DX124" s="409"/>
      <c r="DY124" s="409"/>
      <c r="DZ124" s="409"/>
      <c r="EA124" s="409"/>
      <c r="EB124" s="409"/>
      <c r="EC124" s="409"/>
      <c r="ED124" s="409"/>
    </row>
    <row r="125" spans="1:134" ht="20.05" customHeight="1">
      <c r="A125" s="639" t="s">
        <v>665</v>
      </c>
      <c r="B125" s="1254" t="str">
        <f>IF(OR(B$124=$V$121,B$120=""),"",B$120)</f>
        <v/>
      </c>
      <c r="C125" s="1255"/>
      <c r="D125" s="1254" t="str">
        <f>IF(OR(D$124=$V$121,D$120=""),"",D$120)</f>
        <v/>
      </c>
      <c r="E125" s="1255"/>
      <c r="F125" s="1254" t="str">
        <f>IF(OR(F$124=$V$121,F$120=""),"",F$120)</f>
        <v/>
      </c>
      <c r="G125" s="1255"/>
      <c r="H125" s="1254" t="str">
        <f>IF(OR(H$124=$V$121,H$120=""),"",H$120)</f>
        <v/>
      </c>
      <c r="I125" s="1255"/>
      <c r="J125" s="1254" t="str">
        <f>IF(OR(J$124=$V$121,J$120=""),"",J$120)</f>
        <v/>
      </c>
      <c r="K125" s="1256"/>
      <c r="L125" s="1255"/>
      <c r="M125" s="138"/>
      <c r="N125" s="1043" t="str">
        <f>IF(F$123=$V$58,"",SUM($Q125:$S125))</f>
        <v/>
      </c>
      <c r="O125" s="1044"/>
      <c r="P125" s="359"/>
      <c r="Q125" s="529">
        <f>IF($F123=$V$60,$Y$60*F124,0)</f>
        <v>0</v>
      </c>
      <c r="R125" s="529">
        <f>IF($F123=$V$61,$Y$61*$F$124,0)</f>
        <v>0</v>
      </c>
      <c r="S125" s="529">
        <f>IF($F123=$V$62,$Y$62*$F$124,0)</f>
        <v>0</v>
      </c>
      <c r="T125" s="210">
        <f>IF($F$123=$V$60,"Kies 1, 2 of 4",0)</f>
        <v>0</v>
      </c>
      <c r="U125" s="413"/>
      <c r="V125" s="65">
        <v>4</v>
      </c>
      <c r="W125" s="67"/>
      <c r="X125" s="206"/>
      <c r="Y125" s="206"/>
      <c r="Z125" s="201"/>
      <c r="AA125" s="67" t="s">
        <v>54</v>
      </c>
      <c r="AB125" s="65"/>
      <c r="AC125" s="65"/>
      <c r="AD125" s="67" t="s">
        <v>54</v>
      </c>
      <c r="AE125" s="206"/>
      <c r="AF125" s="206"/>
      <c r="AG125" s="67" t="s">
        <v>54</v>
      </c>
      <c r="AH125" s="65"/>
      <c r="AI125" s="65"/>
      <c r="AJ125" s="67" t="s">
        <v>54</v>
      </c>
      <c r="AK125" s="67"/>
      <c r="AL125" s="65"/>
      <c r="AM125" s="67" t="s">
        <v>54</v>
      </c>
      <c r="AN125" s="65"/>
      <c r="AO125" s="65"/>
      <c r="AP125" s="65"/>
      <c r="AQ125" s="65"/>
      <c r="AR125" s="65"/>
      <c r="AS125" s="65"/>
      <c r="AT125" s="61"/>
      <c r="AU125" s="61"/>
      <c r="AV125" s="61"/>
      <c r="AW125" s="804">
        <v>4</v>
      </c>
      <c r="AX125" s="803"/>
      <c r="AY125" s="808"/>
      <c r="AZ125" s="808"/>
      <c r="BA125" s="804"/>
      <c r="BB125" s="807"/>
      <c r="BC125" s="808"/>
      <c r="BD125" s="808"/>
      <c r="BE125" s="804"/>
      <c r="BF125" s="202"/>
      <c r="BG125" s="202"/>
      <c r="BH125" s="202"/>
      <c r="BI125" s="65"/>
      <c r="BJ125" s="65"/>
      <c r="BK125" s="202"/>
      <c r="BL125" s="65"/>
      <c r="BM125" s="66"/>
      <c r="BN125" s="207"/>
      <c r="BO125" s="66"/>
      <c r="BP125" s="66"/>
      <c r="BQ125" s="66"/>
      <c r="BR125" s="201"/>
      <c r="BS125" s="66"/>
      <c r="BT125" s="66"/>
      <c r="BU125" s="65"/>
      <c r="BV125" s="65"/>
      <c r="BW125" s="65"/>
      <c r="BX125" s="65"/>
      <c r="BY125" s="65"/>
      <c r="BZ125" s="65"/>
      <c r="CA125" s="65"/>
      <c r="CB125" s="65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409"/>
      <c r="DH125" s="409"/>
      <c r="DI125" s="409"/>
      <c r="DJ125" s="409"/>
      <c r="DK125" s="409"/>
      <c r="DL125" s="409"/>
      <c r="DM125" s="409"/>
      <c r="DN125" s="409"/>
      <c r="DO125" s="409"/>
      <c r="DP125" s="409"/>
      <c r="DQ125" s="409"/>
      <c r="DR125" s="409"/>
      <c r="DS125" s="409"/>
      <c r="DT125" s="409"/>
      <c r="DU125" s="409"/>
      <c r="DV125" s="409"/>
      <c r="DW125" s="409"/>
      <c r="DX125" s="409"/>
      <c r="DY125" s="409"/>
      <c r="DZ125" s="409"/>
      <c r="EA125" s="409"/>
      <c r="EB125" s="409"/>
      <c r="EC125" s="409"/>
      <c r="ED125" s="409"/>
    </row>
    <row r="126" spans="1:134" ht="20.05" customHeight="1">
      <c r="A126" s="544"/>
      <c r="B126" s="1257" t="str">
        <f>IF(B$125="","","soorten snacks")</f>
        <v/>
      </c>
      <c r="C126" s="1259"/>
      <c r="D126" s="1257" t="str">
        <f>IF(D$125="","","soorten snacks")</f>
        <v/>
      </c>
      <c r="E126" s="1259"/>
      <c r="F126" s="1257" t="str">
        <f>IF(F$125="","","soorten snacks")</f>
        <v/>
      </c>
      <c r="G126" s="1259"/>
      <c r="H126" s="1257" t="str">
        <f>IF(H$125="","","soorten snacks")</f>
        <v/>
      </c>
      <c r="I126" s="1259"/>
      <c r="J126" s="1257" t="str">
        <f>IF(J$125="","","soorten snacks")</f>
        <v/>
      </c>
      <c r="K126" s="1258"/>
      <c r="L126" s="1259"/>
      <c r="M126" s="139"/>
      <c r="N126" s="1043" t="str">
        <f>IF(H$123=$V$58,"",SUM($Q126:$S126))</f>
        <v/>
      </c>
      <c r="O126" s="1044"/>
      <c r="P126" s="359"/>
      <c r="Q126" s="529">
        <f>IF($H123=$V$60,$Y$60*$H$124,0)</f>
        <v>0</v>
      </c>
      <c r="R126" s="529">
        <f>IF($H123=$V$61,$Y$61*$H$124,0)</f>
        <v>0</v>
      </c>
      <c r="S126" s="529">
        <f>IF($H123=$V$62,$Y$62*$H$124,0)</f>
        <v>0</v>
      </c>
      <c r="T126" s="210">
        <f>IF($H$123=$V$60,"Kies 1, 2 of 4",0)</f>
        <v>0</v>
      </c>
      <c r="U126" s="413"/>
      <c r="V126" s="65">
        <v>5</v>
      </c>
      <c r="W126" s="67"/>
      <c r="X126" s="206"/>
      <c r="Y126" s="206"/>
      <c r="Z126" s="201"/>
      <c r="AA126" s="67" t="s">
        <v>55</v>
      </c>
      <c r="AB126" s="65"/>
      <c r="AC126" s="65"/>
      <c r="AD126" s="67" t="s">
        <v>55</v>
      </c>
      <c r="AE126" s="206"/>
      <c r="AF126" s="206"/>
      <c r="AG126" s="67" t="s">
        <v>55</v>
      </c>
      <c r="AH126" s="65"/>
      <c r="AI126" s="65"/>
      <c r="AJ126" s="67" t="s">
        <v>55</v>
      </c>
      <c r="AK126" s="65"/>
      <c r="AL126" s="65"/>
      <c r="AM126" s="67" t="s">
        <v>55</v>
      </c>
      <c r="AN126" s="65"/>
      <c r="AO126" s="65"/>
      <c r="AP126" s="65"/>
      <c r="AQ126" s="65"/>
      <c r="AR126" s="65"/>
      <c r="AS126" s="65"/>
      <c r="AT126" s="61"/>
      <c r="AU126" s="61"/>
      <c r="AV126" s="61"/>
      <c r="AW126" s="803">
        <v>5</v>
      </c>
      <c r="AX126" s="804"/>
      <c r="AY126" s="61"/>
      <c r="AZ126" s="61"/>
      <c r="BA126" s="804"/>
      <c r="BB126" s="809"/>
      <c r="BC126" s="61"/>
      <c r="BD126" s="61"/>
      <c r="BE126" s="804"/>
      <c r="BF126" s="202"/>
      <c r="BG126" s="202"/>
      <c r="BH126" s="202"/>
      <c r="BI126" s="65"/>
      <c r="BJ126" s="65"/>
      <c r="BK126" s="202"/>
      <c r="BL126" s="65"/>
      <c r="BM126" s="65"/>
      <c r="BN126" s="67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409"/>
      <c r="DH126" s="409"/>
      <c r="DI126" s="409"/>
      <c r="DJ126" s="409"/>
      <c r="DK126" s="409"/>
      <c r="DL126" s="409"/>
      <c r="DM126" s="409"/>
      <c r="DN126" s="409"/>
      <c r="DO126" s="409"/>
      <c r="DP126" s="409"/>
      <c r="DQ126" s="409"/>
      <c r="DR126" s="409"/>
      <c r="DS126" s="409"/>
      <c r="DT126" s="409"/>
      <c r="DU126" s="409"/>
      <c r="DV126" s="409"/>
      <c r="DW126" s="409"/>
      <c r="DX126" s="409"/>
      <c r="DY126" s="409"/>
      <c r="DZ126" s="409"/>
      <c r="EA126" s="409"/>
      <c r="EB126" s="409"/>
      <c r="EC126" s="409"/>
      <c r="ED126" s="409"/>
    </row>
    <row r="127" spans="1:134" ht="20.05" customHeight="1">
      <c r="A127" s="543"/>
      <c r="B127" s="1243" t="str">
        <f>IF(B$124=$V$121,$AW$127,$AW$121)</f>
        <v>.</v>
      </c>
      <c r="C127" s="1245"/>
      <c r="D127" s="1243" t="str">
        <f>IF(D$124=$V$121,$AW$127,$AW$121)</f>
        <v>.</v>
      </c>
      <c r="E127" s="1245"/>
      <c r="F127" s="1243" t="str">
        <f>IF(F$124=$V$121,$AW$127,$AW$121)</f>
        <v>.</v>
      </c>
      <c r="G127" s="1245"/>
      <c r="H127" s="1243" t="str">
        <f>IF(H$124=$V$121,$AW$127,$AW$121)</f>
        <v>.</v>
      </c>
      <c r="I127" s="1245"/>
      <c r="J127" s="1243" t="str">
        <f>IF(J$124=$V$121,$AW$127,$AW$121)</f>
        <v>.</v>
      </c>
      <c r="K127" s="1244"/>
      <c r="L127" s="1245"/>
      <c r="M127" s="140"/>
      <c r="N127" s="1043" t="str">
        <f>IF(J$123=$V$58,"",SUM($Q127:$S127))</f>
        <v/>
      </c>
      <c r="O127" s="1044"/>
      <c r="P127" s="359"/>
      <c r="Q127" s="529">
        <f>IF($J123=$V$60,$Y$60*$J$124,0)</f>
        <v>0</v>
      </c>
      <c r="R127" s="529">
        <f>IF($J123=$V$61,$Y$61*J124,0)</f>
        <v>0</v>
      </c>
      <c r="S127" s="529">
        <f>IF($J123=$V$62,$Y$62*$J$124,0)</f>
        <v>0</v>
      </c>
      <c r="T127" s="210">
        <f>IF($J$123=$V$60,"Kies 1, 2 of 4",0)</f>
        <v>0</v>
      </c>
      <c r="U127" s="413"/>
      <c r="V127" s="530">
        <v>6</v>
      </c>
      <c r="W127" s="202"/>
      <c r="X127" s="65"/>
      <c r="Y127" s="65"/>
      <c r="Z127" s="201"/>
      <c r="AA127" s="67" t="s">
        <v>56</v>
      </c>
      <c r="AB127" s="65"/>
      <c r="AC127" s="65"/>
      <c r="AD127" s="67" t="s">
        <v>56</v>
      </c>
      <c r="AE127" s="206"/>
      <c r="AF127" s="206"/>
      <c r="AG127" s="67" t="s">
        <v>56</v>
      </c>
      <c r="AH127" s="65"/>
      <c r="AI127" s="65"/>
      <c r="AJ127" s="67" t="s">
        <v>56</v>
      </c>
      <c r="AK127" s="65"/>
      <c r="AL127" s="65"/>
      <c r="AM127" s="67" t="s">
        <v>56</v>
      </c>
      <c r="AN127" s="65"/>
      <c r="AO127" s="65"/>
      <c r="AP127" s="65"/>
      <c r="AQ127" s="65"/>
      <c r="AR127" s="65"/>
      <c r="AS127" s="65"/>
      <c r="AT127" s="61"/>
      <c r="AU127" s="61"/>
      <c r="AV127" s="61"/>
      <c r="AW127" s="61" t="s">
        <v>93</v>
      </c>
      <c r="AX127" s="804"/>
      <c r="AY127" s="61"/>
      <c r="AZ127" s="61"/>
      <c r="BA127" s="804"/>
      <c r="BB127" s="809"/>
      <c r="BC127" s="61"/>
      <c r="BD127" s="61"/>
      <c r="BE127" s="804"/>
      <c r="BF127" s="202"/>
      <c r="BG127" s="202"/>
      <c r="BH127" s="202"/>
      <c r="BI127" s="65"/>
      <c r="BJ127" s="65"/>
      <c r="BK127" s="202"/>
      <c r="BL127" s="65"/>
      <c r="BM127" s="65"/>
      <c r="BN127" s="67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409"/>
      <c r="DH127" s="409"/>
      <c r="DI127" s="409"/>
      <c r="DJ127" s="409"/>
      <c r="DK127" s="409"/>
      <c r="DL127" s="409"/>
      <c r="DM127" s="409"/>
      <c r="DN127" s="409"/>
      <c r="DO127" s="409"/>
      <c r="DP127" s="409"/>
      <c r="DQ127" s="409"/>
      <c r="DR127" s="409"/>
      <c r="DS127" s="409"/>
      <c r="DT127" s="409"/>
      <c r="DU127" s="409"/>
      <c r="DV127" s="409"/>
      <c r="DW127" s="409"/>
      <c r="DX127" s="409"/>
      <c r="DY127" s="409"/>
      <c r="DZ127" s="409"/>
      <c r="EA127" s="409"/>
      <c r="EB127" s="409"/>
      <c r="EC127" s="409"/>
      <c r="ED127" s="409"/>
    </row>
    <row r="128" spans="1:134">
      <c r="A128" s="63"/>
      <c r="B128" s="1176" t="str">
        <f>IF(B$127&lt;=5,$AA$121,"")</f>
        <v/>
      </c>
      <c r="C128" s="1177"/>
      <c r="D128" s="1176" t="str">
        <f>IF(D$127&lt;=5,$AA$121,"")</f>
        <v/>
      </c>
      <c r="E128" s="1177"/>
      <c r="F128" s="1176" t="str">
        <f>IF(F$127&lt;=5,$AA$121,"")</f>
        <v/>
      </c>
      <c r="G128" s="1177"/>
      <c r="H128" s="1176" t="str">
        <f>IF(H$127&lt;=5,$AA$121,"")</f>
        <v/>
      </c>
      <c r="I128" s="1177"/>
      <c r="J128" s="1176" t="str">
        <f>IF(J$127&lt;=5,$AA$121,"")</f>
        <v/>
      </c>
      <c r="K128" s="1246"/>
      <c r="L128" s="1177"/>
      <c r="M128" s="140"/>
      <c r="N128" s="1080"/>
      <c r="O128" s="1068"/>
      <c r="P128" s="359"/>
      <c r="Q128" s="529"/>
      <c r="R128" s="529"/>
      <c r="S128" s="529"/>
      <c r="T128" s="210"/>
      <c r="U128" s="416"/>
      <c r="V128" s="531">
        <v>7</v>
      </c>
      <c r="W128" s="202"/>
      <c r="X128" s="65"/>
      <c r="Y128" s="65"/>
      <c r="Z128" s="201"/>
      <c r="AA128" s="67" t="s">
        <v>57</v>
      </c>
      <c r="AB128" s="65"/>
      <c r="AC128" s="65"/>
      <c r="AD128" s="67" t="s">
        <v>57</v>
      </c>
      <c r="AE128" s="206"/>
      <c r="AF128" s="206"/>
      <c r="AG128" s="67" t="s">
        <v>57</v>
      </c>
      <c r="AH128" s="65"/>
      <c r="AI128" s="65"/>
      <c r="AJ128" s="67" t="s">
        <v>57</v>
      </c>
      <c r="AK128" s="65"/>
      <c r="AL128" s="65"/>
      <c r="AM128" s="67" t="s">
        <v>57</v>
      </c>
      <c r="AN128" s="65"/>
      <c r="AO128" s="65"/>
      <c r="AP128" s="65"/>
      <c r="AQ128" s="65"/>
      <c r="AR128" s="65"/>
      <c r="AS128" s="65"/>
      <c r="AT128" s="61"/>
      <c r="AU128" s="61"/>
      <c r="AV128" s="61"/>
      <c r="AW128" s="61"/>
      <c r="AX128" s="804"/>
      <c r="AY128" s="61"/>
      <c r="AZ128" s="61"/>
      <c r="BA128" s="804"/>
      <c r="BB128" s="809"/>
      <c r="BC128" s="61"/>
      <c r="BD128" s="61"/>
      <c r="BE128" s="804"/>
      <c r="BF128" s="202"/>
      <c r="BG128" s="202"/>
      <c r="BH128" s="202"/>
      <c r="BI128" s="65"/>
      <c r="BJ128" s="65"/>
      <c r="BK128" s="202"/>
      <c r="BL128" s="65"/>
      <c r="BM128" s="65"/>
      <c r="BN128" s="67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409"/>
      <c r="DH128" s="409"/>
      <c r="DI128" s="409"/>
      <c r="DJ128" s="409"/>
      <c r="DK128" s="409"/>
      <c r="DL128" s="409"/>
      <c r="DM128" s="409"/>
      <c r="DN128" s="409"/>
      <c r="DO128" s="409"/>
      <c r="DP128" s="409"/>
      <c r="DQ128" s="409"/>
      <c r="DR128" s="409"/>
      <c r="DS128" s="409"/>
      <c r="DT128" s="409"/>
      <c r="DU128" s="409"/>
      <c r="DV128" s="409"/>
      <c r="DW128" s="409"/>
      <c r="DX128" s="409"/>
      <c r="DY128" s="409"/>
      <c r="DZ128" s="409"/>
      <c r="EA128" s="409"/>
      <c r="EB128" s="409"/>
      <c r="EC128" s="409"/>
      <c r="ED128" s="409"/>
    </row>
    <row r="129" spans="1:134">
      <c r="A129" s="63"/>
      <c r="B129" s="1176" t="str">
        <f>IF(AND(B$127&lt;=5,B$127&gt;1),$AD$121,"")</f>
        <v/>
      </c>
      <c r="C129" s="1177"/>
      <c r="D129" s="1176" t="str">
        <f>IF(AND(D$127&lt;=5,D$127&gt;1),$AD$121,"")</f>
        <v/>
      </c>
      <c r="E129" s="1177"/>
      <c r="F129" s="1176" t="str">
        <f>IF(AND(F$127&lt;=5,F$127&gt;1),$AD$121,"")</f>
        <v/>
      </c>
      <c r="G129" s="1177"/>
      <c r="H129" s="1176" t="str">
        <f>IF(AND(H$127&lt;=5,H$127&gt;1),$AD$121,"")</f>
        <v/>
      </c>
      <c r="I129" s="1177"/>
      <c r="J129" s="1176" t="str">
        <f>IF(AND(J$127&lt;=5,J$127&gt;1),$AD$121,"")</f>
        <v/>
      </c>
      <c r="K129" s="1246"/>
      <c r="L129" s="1177"/>
      <c r="M129" s="140"/>
      <c r="N129" s="539"/>
      <c r="O129" s="540"/>
      <c r="P129" s="95"/>
      <c r="Q129" s="95"/>
      <c r="R129" s="65"/>
      <c r="S129" s="202"/>
      <c r="T129" s="202"/>
      <c r="U129" s="202"/>
      <c r="V129" s="65">
        <v>8</v>
      </c>
      <c r="W129" s="201"/>
      <c r="X129" s="202"/>
      <c r="Y129" s="211"/>
      <c r="Z129" s="202"/>
      <c r="AA129" s="67" t="s">
        <v>58</v>
      </c>
      <c r="AB129" s="65"/>
      <c r="AC129" s="65"/>
      <c r="AD129" s="67" t="s">
        <v>58</v>
      </c>
      <c r="AE129" s="206"/>
      <c r="AF129" s="206"/>
      <c r="AG129" s="67" t="s">
        <v>58</v>
      </c>
      <c r="AH129" s="65"/>
      <c r="AI129" s="65"/>
      <c r="AJ129" s="67" t="s">
        <v>58</v>
      </c>
      <c r="AK129" s="65"/>
      <c r="AL129" s="65"/>
      <c r="AM129" s="67" t="s">
        <v>58</v>
      </c>
      <c r="AN129" s="65"/>
      <c r="AO129" s="65"/>
      <c r="AP129" s="65"/>
      <c r="AQ129" s="65"/>
      <c r="AR129" s="65"/>
      <c r="AS129" s="65"/>
      <c r="AT129" s="61"/>
      <c r="AU129" s="61"/>
      <c r="AV129" s="61"/>
      <c r="AW129" s="61"/>
      <c r="AX129" s="804"/>
      <c r="AY129" s="61"/>
      <c r="AZ129" s="61"/>
      <c r="BA129" s="804"/>
      <c r="BB129" s="809"/>
      <c r="BC129" s="61"/>
      <c r="BD129" s="61"/>
      <c r="BE129" s="804"/>
      <c r="BF129" s="202"/>
      <c r="BG129" s="202"/>
      <c r="BH129" s="202"/>
      <c r="BI129" s="65"/>
      <c r="BJ129" s="65"/>
      <c r="BK129" s="202"/>
      <c r="BL129" s="65"/>
      <c r="BM129" s="65"/>
      <c r="BN129" s="67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409"/>
      <c r="DH129" s="409"/>
      <c r="DI129" s="409"/>
      <c r="DJ129" s="409"/>
      <c r="DK129" s="409"/>
      <c r="DL129" s="409"/>
      <c r="DM129" s="409"/>
      <c r="DN129" s="409"/>
      <c r="DO129" s="409"/>
      <c r="DP129" s="409"/>
      <c r="DQ129" s="409"/>
      <c r="DR129" s="409"/>
      <c r="DS129" s="409"/>
      <c r="DT129" s="409"/>
      <c r="DU129" s="409"/>
      <c r="DV129" s="409"/>
      <c r="DW129" s="409"/>
      <c r="DX129" s="409"/>
      <c r="DY129" s="409"/>
      <c r="DZ129" s="409"/>
      <c r="EA129" s="409"/>
      <c r="EB129" s="409"/>
      <c r="EC129" s="409"/>
      <c r="ED129" s="409"/>
    </row>
    <row r="130" spans="1:134">
      <c r="A130" s="63"/>
      <c r="B130" s="1176" t="str">
        <f>IF(AND(B$127&lt;=5,B$127&gt;2),$AG$121,"")</f>
        <v/>
      </c>
      <c r="C130" s="1177"/>
      <c r="D130" s="1176" t="str">
        <f>IF(AND(D$127&lt;=5,D$127&gt;2),$AG$121,"")</f>
        <v/>
      </c>
      <c r="E130" s="1177"/>
      <c r="F130" s="1176" t="str">
        <f>IF(AND(F$127&lt;=5,F$127&gt;2),$AG$121,"")</f>
        <v/>
      </c>
      <c r="G130" s="1177"/>
      <c r="H130" s="1176" t="str">
        <f>IF(AND(H$127&lt;=5,H$127&gt;2),$AG$121,"")</f>
        <v/>
      </c>
      <c r="I130" s="1177"/>
      <c r="J130" s="1176" t="str">
        <f>IF(AND(J$127&lt;=5,J$127&gt;2),$AG$121,"")</f>
        <v/>
      </c>
      <c r="K130" s="1246"/>
      <c r="L130" s="1177"/>
      <c r="M130" s="140"/>
      <c r="N130" s="541"/>
      <c r="O130" s="540"/>
      <c r="P130" s="95"/>
      <c r="Q130" s="95"/>
      <c r="R130" s="65"/>
      <c r="S130" s="202"/>
      <c r="T130" s="202"/>
      <c r="U130" s="202"/>
      <c r="V130" s="65">
        <v>9</v>
      </c>
      <c r="W130" s="65"/>
      <c r="X130" s="65"/>
      <c r="Y130" s="212"/>
      <c r="Z130" s="202"/>
      <c r="AA130" s="67" t="s">
        <v>59</v>
      </c>
      <c r="AB130" s="65"/>
      <c r="AC130" s="65"/>
      <c r="AD130" s="67" t="s">
        <v>59</v>
      </c>
      <c r="AE130" s="206"/>
      <c r="AF130" s="206"/>
      <c r="AG130" s="67" t="s">
        <v>59</v>
      </c>
      <c r="AH130" s="65"/>
      <c r="AI130" s="65"/>
      <c r="AJ130" s="67" t="s">
        <v>59</v>
      </c>
      <c r="AK130" s="65"/>
      <c r="AL130" s="65"/>
      <c r="AM130" s="67" t="s">
        <v>59</v>
      </c>
      <c r="AN130" s="65"/>
      <c r="AO130" s="65"/>
      <c r="AP130" s="65"/>
      <c r="AQ130" s="65"/>
      <c r="AR130" s="65"/>
      <c r="AS130" s="65"/>
      <c r="AT130" s="61"/>
      <c r="AU130" s="61"/>
      <c r="AV130" s="61"/>
      <c r="AW130" s="61"/>
      <c r="AX130" s="804"/>
      <c r="AY130" s="61"/>
      <c r="AZ130" s="61"/>
      <c r="BA130" s="804"/>
      <c r="BB130" s="809"/>
      <c r="BC130" s="61"/>
      <c r="BD130" s="61"/>
      <c r="BE130" s="804"/>
      <c r="BF130" s="202"/>
      <c r="BG130" s="202"/>
      <c r="BH130" s="202"/>
      <c r="BI130" s="65"/>
      <c r="BJ130" s="65"/>
      <c r="BK130" s="202"/>
      <c r="BL130" s="65"/>
      <c r="BM130" s="65"/>
      <c r="BN130" s="67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409"/>
      <c r="DH130" s="409"/>
      <c r="DI130" s="409"/>
      <c r="DJ130" s="409"/>
      <c r="DK130" s="409"/>
      <c r="DL130" s="409"/>
      <c r="DM130" s="409"/>
      <c r="DN130" s="409"/>
      <c r="DO130" s="409"/>
      <c r="DP130" s="409"/>
      <c r="DQ130" s="409"/>
      <c r="DR130" s="409"/>
      <c r="DS130" s="409"/>
      <c r="DT130" s="409"/>
      <c r="DU130" s="409"/>
      <c r="DV130" s="409"/>
      <c r="DW130" s="409"/>
      <c r="DX130" s="409"/>
      <c r="DY130" s="409"/>
      <c r="DZ130" s="409"/>
      <c r="EA130" s="409"/>
      <c r="EB130" s="409"/>
      <c r="EC130" s="409"/>
      <c r="ED130" s="409"/>
    </row>
    <row r="131" spans="1:134">
      <c r="A131" s="63"/>
      <c r="B131" s="1176" t="str">
        <f>IF(AND(B$127&lt;=5,B$127&gt;3),$AJ$121,"")</f>
        <v/>
      </c>
      <c r="C131" s="1177"/>
      <c r="D131" s="1176" t="str">
        <f>IF(AND(D$127&lt;=5,D$127&gt;3),$AJ$121,"")</f>
        <v/>
      </c>
      <c r="E131" s="1177"/>
      <c r="F131" s="1176" t="str">
        <f>IF(AND(F$127&lt;=5,F$127&gt;3),$AJ$121,"")</f>
        <v/>
      </c>
      <c r="G131" s="1177"/>
      <c r="H131" s="1176" t="str">
        <f>IF(AND(H$127&lt;=5,H$127&gt;3),$AJ$121,"")</f>
        <v/>
      </c>
      <c r="I131" s="1177"/>
      <c r="J131" s="1176" t="str">
        <f>IF(AND(J$127&lt;=5,J$127&gt;3),$AJ$121,"")</f>
        <v/>
      </c>
      <c r="K131" s="1246"/>
      <c r="L131" s="1177"/>
      <c r="M131" s="140"/>
      <c r="N131" s="541"/>
      <c r="O131" s="540"/>
      <c r="P131" s="95"/>
      <c r="Q131" s="812"/>
      <c r="R131" s="804"/>
      <c r="S131" s="804"/>
      <c r="T131" s="804"/>
      <c r="U131" s="202"/>
      <c r="V131" s="65">
        <v>10</v>
      </c>
      <c r="W131" s="65"/>
      <c r="X131" s="65"/>
      <c r="Y131" s="65"/>
      <c r="Z131" s="202"/>
      <c r="AA131" s="67" t="s">
        <v>60</v>
      </c>
      <c r="AB131" s="65"/>
      <c r="AC131" s="65"/>
      <c r="AD131" s="67" t="s">
        <v>60</v>
      </c>
      <c r="AE131" s="206"/>
      <c r="AF131" s="206"/>
      <c r="AG131" s="67" t="s">
        <v>60</v>
      </c>
      <c r="AH131" s="65"/>
      <c r="AI131" s="65"/>
      <c r="AJ131" s="67" t="s">
        <v>60</v>
      </c>
      <c r="AK131" s="65"/>
      <c r="AL131" s="65"/>
      <c r="AM131" s="67" t="s">
        <v>60</v>
      </c>
      <c r="AN131" s="65"/>
      <c r="AO131" s="65"/>
      <c r="AP131" s="65"/>
      <c r="AQ131" s="65"/>
      <c r="AR131" s="65"/>
      <c r="AS131" s="65"/>
      <c r="AT131" s="61"/>
      <c r="AU131" s="61"/>
      <c r="AV131" s="61"/>
      <c r="AW131" s="61"/>
      <c r="AX131" s="804"/>
      <c r="AY131" s="61"/>
      <c r="AZ131" s="61"/>
      <c r="BA131" s="804"/>
      <c r="BB131" s="809"/>
      <c r="BC131" s="61"/>
      <c r="BD131" s="61"/>
      <c r="BE131" s="804"/>
      <c r="BF131" s="202"/>
      <c r="BG131" s="202"/>
      <c r="BH131" s="202"/>
      <c r="BI131" s="65"/>
      <c r="BJ131" s="65"/>
      <c r="BK131" s="202"/>
      <c r="BL131" s="65"/>
      <c r="BM131" s="65"/>
      <c r="BN131" s="67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409"/>
      <c r="DH131" s="409"/>
      <c r="DI131" s="409"/>
      <c r="DJ131" s="409"/>
      <c r="DK131" s="409"/>
      <c r="DL131" s="409"/>
      <c r="DM131" s="409"/>
      <c r="DN131" s="409"/>
      <c r="DO131" s="409"/>
      <c r="DP131" s="409"/>
      <c r="DQ131" s="409"/>
      <c r="DR131" s="409"/>
      <c r="DS131" s="409"/>
      <c r="DT131" s="409"/>
      <c r="DU131" s="409"/>
      <c r="DV131" s="409"/>
      <c r="DW131" s="409"/>
      <c r="DX131" s="409"/>
      <c r="DY131" s="409"/>
      <c r="DZ131" s="409"/>
      <c r="EA131" s="409"/>
      <c r="EB131" s="409"/>
      <c r="EC131" s="409"/>
      <c r="ED131" s="409"/>
    </row>
    <row r="132" spans="1:134">
      <c r="A132" s="63"/>
      <c r="B132" s="1176" t="str">
        <f>IF(AND(B$120="Kies 1, 3 of 5",B$127&lt;=5,B$127&gt;4),$AM$121,"")</f>
        <v/>
      </c>
      <c r="C132" s="1177"/>
      <c r="D132" s="1176" t="str">
        <f>IF(AND(D$120="Kies 1, 3 of 5",D$127&lt;=5,D$127&gt;4),$AM$121,"")</f>
        <v/>
      </c>
      <c r="E132" s="1177"/>
      <c r="F132" s="1176" t="str">
        <f>IF(AND(F$120="Kies 1, 3 of 5",F$127&lt;=5,F$127&gt;4),$AM$121,"")</f>
        <v/>
      </c>
      <c r="G132" s="1177"/>
      <c r="H132" s="1176" t="str">
        <f>IF(AND(H$120="Kies 1, 3 of 5",H$127&lt;=5,H$127&gt;4),$AM$121,"")</f>
        <v/>
      </c>
      <c r="I132" s="1177"/>
      <c r="J132" s="1176" t="str">
        <f>IF(AND(J$120="Kies 1, 3 of 5",J$127&lt;=5,J$127&gt;4),$AM$121,"")</f>
        <v/>
      </c>
      <c r="K132" s="1246"/>
      <c r="L132" s="1177"/>
      <c r="M132" s="140"/>
      <c r="N132" s="541"/>
      <c r="O132" s="540"/>
      <c r="P132" s="95"/>
      <c r="Q132" s="95"/>
      <c r="R132" s="202"/>
      <c r="S132" s="202"/>
      <c r="T132" s="202"/>
      <c r="U132" s="202"/>
      <c r="V132" s="65"/>
      <c r="W132" s="65"/>
      <c r="X132" s="65"/>
      <c r="Y132" s="65"/>
      <c r="Z132" s="202"/>
      <c r="AA132" s="67" t="s">
        <v>712</v>
      </c>
      <c r="AB132" s="65"/>
      <c r="AC132" s="65"/>
      <c r="AD132" s="67" t="s">
        <v>712</v>
      </c>
      <c r="AE132" s="206"/>
      <c r="AF132" s="206"/>
      <c r="AG132" s="67" t="s">
        <v>712</v>
      </c>
      <c r="AH132" s="65"/>
      <c r="AI132" s="65"/>
      <c r="AJ132" s="67" t="s">
        <v>712</v>
      </c>
      <c r="AK132" s="65"/>
      <c r="AL132" s="65"/>
      <c r="AM132" s="67" t="s">
        <v>712</v>
      </c>
      <c r="AN132" s="65"/>
      <c r="AO132" s="65"/>
      <c r="AP132" s="65"/>
      <c r="AQ132" s="65"/>
      <c r="AR132" s="65"/>
      <c r="AS132" s="65"/>
      <c r="AT132" s="61"/>
      <c r="AU132" s="61"/>
      <c r="AV132" s="61"/>
      <c r="AW132" s="61"/>
      <c r="AX132" s="804"/>
      <c r="AY132" s="61"/>
      <c r="AZ132" s="61"/>
      <c r="BA132" s="804"/>
      <c r="BB132" s="809"/>
      <c r="BC132" s="61"/>
      <c r="BD132" s="61"/>
      <c r="BE132" s="804"/>
      <c r="BF132" s="202"/>
      <c r="BG132" s="202"/>
      <c r="BH132" s="202"/>
      <c r="BI132" s="205"/>
      <c r="BJ132" s="205"/>
      <c r="BK132" s="202"/>
      <c r="BL132" s="65"/>
      <c r="BM132" s="65"/>
      <c r="BN132" s="67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409"/>
      <c r="DH132" s="409"/>
      <c r="DI132" s="409"/>
      <c r="DJ132" s="409"/>
      <c r="DK132" s="409"/>
      <c r="DL132" s="409"/>
      <c r="DM132" s="409"/>
      <c r="DN132" s="409"/>
      <c r="DO132" s="409"/>
      <c r="DP132" s="409"/>
      <c r="DQ132" s="409"/>
      <c r="DR132" s="409"/>
      <c r="DS132" s="409"/>
      <c r="DT132" s="409"/>
      <c r="DU132" s="409"/>
      <c r="DV132" s="409"/>
      <c r="DW132" s="409"/>
      <c r="DX132" s="409"/>
      <c r="DY132" s="409"/>
      <c r="DZ132" s="409"/>
      <c r="EA132" s="409"/>
      <c r="EB132" s="409"/>
      <c r="EC132" s="409"/>
      <c r="ED132" s="409"/>
    </row>
    <row r="133" spans="1:134" ht="15.6">
      <c r="A133" s="63"/>
      <c r="B133" s="1045" t="str">
        <f>IF(B$125="kies 1, 3 of 5",$BA$34,$BA$56)</f>
        <v>.</v>
      </c>
      <c r="C133" s="1047"/>
      <c r="D133" s="1045" t="str">
        <f>IF(D$125="kies 1, 3 of 5",$BA$34,$BA$56)</f>
        <v>.</v>
      </c>
      <c r="E133" s="1047"/>
      <c r="F133" s="1045" t="str">
        <f>IF(F$125="kies 1, 3 of 5",$BA$34,$BA$56)</f>
        <v>.</v>
      </c>
      <c r="G133" s="1047"/>
      <c r="H133" s="1045" t="str">
        <f>IF(H$125="kies 1, 3 of 5",$BA$34,$BA$56)</f>
        <v>.</v>
      </c>
      <c r="I133" s="1047"/>
      <c r="J133" s="1045" t="str">
        <f>IF(J$125="kies 1, 3 of 5",$BA$34,$BA$56)</f>
        <v>.</v>
      </c>
      <c r="K133" s="1046"/>
      <c r="L133" s="1047"/>
      <c r="M133" s="111"/>
      <c r="N133" s="1080" t="str">
        <f>IF(OR(B$133=".",B$133="geen saus",B$133="kies toevoeging saus --&gt;"),".",PRIJZEN!$F$8)</f>
        <v>.</v>
      </c>
      <c r="O133" s="1068"/>
      <c r="P133" s="802"/>
      <c r="Q133" s="422"/>
      <c r="R133" s="202"/>
      <c r="S133" s="202"/>
      <c r="T133" s="202"/>
      <c r="U133" s="202"/>
      <c r="V133" s="65"/>
      <c r="W133" s="67"/>
      <c r="X133" s="206"/>
      <c r="Y133" s="206"/>
      <c r="Z133" s="202"/>
      <c r="AA133" s="65" t="s">
        <v>61</v>
      </c>
      <c r="AB133" s="65"/>
      <c r="AC133" s="65"/>
      <c r="AD133" s="65" t="s">
        <v>61</v>
      </c>
      <c r="AE133" s="206"/>
      <c r="AF133" s="206"/>
      <c r="AG133" s="65" t="s">
        <v>61</v>
      </c>
      <c r="AH133" s="65"/>
      <c r="AI133" s="65"/>
      <c r="AJ133" s="65" t="s">
        <v>61</v>
      </c>
      <c r="AK133" s="65"/>
      <c r="AL133" s="65"/>
      <c r="AM133" s="65" t="s">
        <v>61</v>
      </c>
      <c r="AN133" s="65"/>
      <c r="AO133" s="65"/>
      <c r="AP133" s="65"/>
      <c r="AQ133" s="65"/>
      <c r="AR133" s="65"/>
      <c r="AS133" s="65"/>
      <c r="AT133" s="61"/>
      <c r="AU133" s="61"/>
      <c r="AV133" s="61"/>
      <c r="AW133" s="61"/>
      <c r="AX133" s="804"/>
      <c r="AY133" s="61"/>
      <c r="AZ133" s="61"/>
      <c r="BA133" s="804"/>
      <c r="BB133" s="809"/>
      <c r="BC133" s="61"/>
      <c r="BD133" s="61"/>
      <c r="BE133" s="804"/>
      <c r="BF133" s="205"/>
      <c r="BG133" s="205"/>
      <c r="BH133" s="202"/>
      <c r="BI133" s="205"/>
      <c r="BJ133" s="205"/>
      <c r="BK133" s="202"/>
      <c r="BL133" s="65"/>
      <c r="BM133" s="65"/>
      <c r="BN133" s="67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409"/>
      <c r="DH133" s="409"/>
      <c r="DI133" s="409"/>
      <c r="DJ133" s="409"/>
      <c r="DK133" s="409"/>
      <c r="DL133" s="409"/>
      <c r="DM133" s="409"/>
      <c r="DN133" s="409"/>
      <c r="DO133" s="409"/>
      <c r="DP133" s="409"/>
      <c r="DQ133" s="409"/>
      <c r="DR133" s="409"/>
      <c r="DS133" s="409"/>
      <c r="DT133" s="409"/>
      <c r="DU133" s="409"/>
      <c r="DV133" s="409"/>
      <c r="DW133" s="409"/>
      <c r="DX133" s="409"/>
      <c r="DY133" s="409"/>
      <c r="DZ133" s="409"/>
      <c r="EA133" s="409"/>
      <c r="EB133" s="409"/>
      <c r="EC133" s="409"/>
      <c r="ED133" s="409"/>
    </row>
    <row r="134" spans="1:134" ht="15.6">
      <c r="A134" s="63"/>
      <c r="B134" s="1045" t="str">
        <f>IF(OR(B$133=".",B$133="geen saus"),".",$R$134)</f>
        <v>.</v>
      </c>
      <c r="C134" s="1047"/>
      <c r="D134" s="1045" t="str">
        <f>IF(OR(D$133=".",D$133="geen saus"),".",$R$134)</f>
        <v>.</v>
      </c>
      <c r="E134" s="1047"/>
      <c r="F134" s="1045" t="str">
        <f>IF(OR(F$133=".",F$133="geen saus"),".",$R$134)</f>
        <v>.</v>
      </c>
      <c r="G134" s="1047"/>
      <c r="H134" s="1045" t="str">
        <f>IF(OR(H$133=".",H$133="geen saus"),".",$R$134)</f>
        <v>.</v>
      </c>
      <c r="I134" s="1047"/>
      <c r="J134" s="1045" t="str">
        <f>IF(OR(J$133=".",J$133="geen saus"),".",$R$134)</f>
        <v>.</v>
      </c>
      <c r="K134" s="1046"/>
      <c r="L134" s="1047"/>
      <c r="M134" s="145"/>
      <c r="N134" s="1080" t="str">
        <f>IF(OR(D$133=".",D$133="geen saus",D$133="kies toevoeging saus --&gt;"),".",PRIJZEN!$F$8)</f>
        <v>.</v>
      </c>
      <c r="O134" s="1068"/>
      <c r="P134" s="802"/>
      <c r="Q134" s="422"/>
      <c r="R134" s="201" t="s">
        <v>484</v>
      </c>
      <c r="S134" s="202"/>
      <c r="T134" s="202"/>
      <c r="U134" s="202"/>
      <c r="V134" s="65"/>
      <c r="W134" s="67"/>
      <c r="X134" s="206"/>
      <c r="Y134" s="206"/>
      <c r="Z134" s="202"/>
      <c r="AA134" s="65" t="s">
        <v>62</v>
      </c>
      <c r="AB134" s="65"/>
      <c r="AC134" s="65"/>
      <c r="AD134" s="65" t="s">
        <v>62</v>
      </c>
      <c r="AE134" s="206"/>
      <c r="AF134" s="206"/>
      <c r="AG134" s="65" t="s">
        <v>62</v>
      </c>
      <c r="AH134" s="65"/>
      <c r="AI134" s="65"/>
      <c r="AJ134" s="65" t="s">
        <v>62</v>
      </c>
      <c r="AK134" s="65"/>
      <c r="AL134" s="65"/>
      <c r="AM134" s="65" t="s">
        <v>62</v>
      </c>
      <c r="AN134" s="65"/>
      <c r="AO134" s="65"/>
      <c r="AP134" s="65"/>
      <c r="AQ134" s="65"/>
      <c r="AR134" s="65"/>
      <c r="AS134" s="65"/>
      <c r="AT134" s="61"/>
      <c r="AU134" s="61"/>
      <c r="AV134" s="61"/>
      <c r="AW134" s="61"/>
      <c r="AX134" s="804"/>
      <c r="AY134" s="61"/>
      <c r="AZ134" s="61"/>
      <c r="BA134" s="804"/>
      <c r="BB134" s="809"/>
      <c r="BC134" s="61"/>
      <c r="BD134" s="61"/>
      <c r="BE134" s="61"/>
      <c r="BF134" s="65"/>
      <c r="BG134" s="65"/>
      <c r="BH134" s="65"/>
      <c r="BI134" s="65"/>
      <c r="BJ134" s="65"/>
      <c r="BK134" s="65"/>
      <c r="BL134" s="205"/>
      <c r="BM134" s="65"/>
      <c r="BN134" s="67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409"/>
      <c r="DH134" s="409"/>
      <c r="DI134" s="409"/>
      <c r="DJ134" s="409"/>
      <c r="DK134" s="409"/>
      <c r="DL134" s="409"/>
      <c r="DM134" s="409"/>
      <c r="DN134" s="409"/>
      <c r="DO134" s="409"/>
      <c r="DP134" s="409"/>
      <c r="DQ134" s="409"/>
      <c r="DR134" s="409"/>
      <c r="DS134" s="409"/>
      <c r="DT134" s="409"/>
      <c r="DU134" s="409"/>
      <c r="DV134" s="409"/>
      <c r="DW134" s="409"/>
      <c r="DX134" s="409"/>
      <c r="DY134" s="409"/>
      <c r="DZ134" s="409"/>
      <c r="EA134" s="409"/>
      <c r="EB134" s="409"/>
      <c r="EC134" s="409"/>
      <c r="ED134" s="409"/>
    </row>
    <row r="135" spans="1:134" ht="15.6">
      <c r="A135" s="63"/>
      <c r="B135" s="1178" t="str">
        <f>IF(B$125="kies 1, 2 of 4",$BE$34,$BE$55)</f>
        <v>.</v>
      </c>
      <c r="C135" s="1179"/>
      <c r="D135" s="1178" t="str">
        <f>IF(D$125="kies 1, 2 of 4",$BE$34,$BE$55)</f>
        <v>.</v>
      </c>
      <c r="E135" s="1179"/>
      <c r="F135" s="1178" t="str">
        <f>IF(F$125="kies 1, 2 of 4",$BE$34,$BE$55)</f>
        <v>.</v>
      </c>
      <c r="G135" s="1179"/>
      <c r="H135" s="1178" t="str">
        <f>IF(H$125="kies 1, 2 of 4",$BE$34,$BE$55)</f>
        <v>.</v>
      </c>
      <c r="I135" s="1179"/>
      <c r="J135" s="1178" t="str">
        <f>IF(J$125="kies 1, 2 of 4",$BE$34,$BE$55)</f>
        <v>.</v>
      </c>
      <c r="K135" s="1180"/>
      <c r="L135" s="1179"/>
      <c r="M135" s="144"/>
      <c r="N135" s="1080" t="str">
        <f>IF(OR(F$133=".",F$133="geen saus",F$133="kies toevoeging saus --&gt;"),".",PRIJZEN!$F$8)</f>
        <v>.</v>
      </c>
      <c r="O135" s="1068"/>
      <c r="P135" s="802"/>
      <c r="Q135" s="422"/>
      <c r="R135" s="65" t="s">
        <v>93</v>
      </c>
      <c r="S135" s="202"/>
      <c r="T135" s="202"/>
      <c r="U135" s="202"/>
      <c r="V135" s="65"/>
      <c r="W135" s="67"/>
      <c r="X135" s="206"/>
      <c r="Y135" s="206"/>
      <c r="Z135" s="202"/>
      <c r="AA135" s="67" t="s">
        <v>63</v>
      </c>
      <c r="AB135" s="65"/>
      <c r="AC135" s="65"/>
      <c r="AD135" s="67" t="s">
        <v>63</v>
      </c>
      <c r="AE135" s="206"/>
      <c r="AF135" s="206"/>
      <c r="AG135" s="67" t="s">
        <v>63</v>
      </c>
      <c r="AH135" s="65"/>
      <c r="AI135" s="65"/>
      <c r="AJ135" s="67" t="s">
        <v>63</v>
      </c>
      <c r="AK135" s="65"/>
      <c r="AL135" s="65"/>
      <c r="AM135" s="67" t="s">
        <v>63</v>
      </c>
      <c r="AN135" s="65"/>
      <c r="AO135" s="65"/>
      <c r="AP135" s="65"/>
      <c r="AQ135" s="65"/>
      <c r="AR135" s="65"/>
      <c r="AS135" s="65"/>
      <c r="AT135" s="61"/>
      <c r="AU135" s="61"/>
      <c r="AV135" s="61"/>
      <c r="AW135" s="61"/>
      <c r="AX135" s="804"/>
      <c r="AY135" s="61"/>
      <c r="AZ135" s="61"/>
      <c r="BA135" s="61"/>
      <c r="BB135" s="809"/>
      <c r="BC135" s="61"/>
      <c r="BD135" s="61"/>
      <c r="BE135" s="61"/>
      <c r="BF135" s="65"/>
      <c r="BG135" s="65"/>
      <c r="BH135" s="65"/>
      <c r="BI135" s="65"/>
      <c r="BJ135" s="65"/>
      <c r="BK135" s="65"/>
      <c r="BL135" s="65"/>
      <c r="BM135" s="65"/>
      <c r="BN135" s="67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409"/>
      <c r="DH135" s="409"/>
      <c r="DI135" s="409"/>
      <c r="DJ135" s="409"/>
      <c r="DK135" s="409"/>
      <c r="DL135" s="409"/>
      <c r="DM135" s="409"/>
      <c r="DN135" s="409"/>
      <c r="DO135" s="409"/>
      <c r="DP135" s="409"/>
      <c r="DQ135" s="409"/>
      <c r="DR135" s="409"/>
      <c r="DS135" s="409"/>
      <c r="DT135" s="409"/>
      <c r="DU135" s="409"/>
      <c r="DV135" s="409"/>
      <c r="DW135" s="409"/>
      <c r="DX135" s="409"/>
      <c r="DY135" s="409"/>
      <c r="DZ135" s="409"/>
      <c r="EA135" s="409"/>
      <c r="EB135" s="409"/>
      <c r="EC135" s="409"/>
      <c r="ED135" s="409"/>
    </row>
    <row r="136" spans="1:134" ht="15.6">
      <c r="A136" s="63"/>
      <c r="B136" s="1178" t="str">
        <f>IF(B$125="kies 1, 2 of 4",$BH$34,$BH$55)</f>
        <v>.</v>
      </c>
      <c r="C136" s="1179"/>
      <c r="D136" s="1178" t="str">
        <f>IF(D$125="kies 1, 2 of 4",$BH$34,$BH$55)</f>
        <v>.</v>
      </c>
      <c r="E136" s="1179"/>
      <c r="F136" s="1178" t="str">
        <f>IF(F$125="kies 1, 2 of 4",$BH$34,$BH$55)</f>
        <v>.</v>
      </c>
      <c r="G136" s="1179"/>
      <c r="H136" s="1178" t="str">
        <f>IF(H$125="kies 1, 2 of 4",$BH$34,$BH$55)</f>
        <v>.</v>
      </c>
      <c r="I136" s="1179"/>
      <c r="J136" s="1178" t="str">
        <f>IF(J$125="kies 1, 2 of 4",$BH$34,$BH$55)</f>
        <v>.</v>
      </c>
      <c r="K136" s="1180"/>
      <c r="L136" s="1179"/>
      <c r="M136" s="144"/>
      <c r="N136" s="1080" t="str">
        <f>IF(OR(H$133=".",H$133="geen saus",H$133="kies toevoeging saus --&gt;"),".",PRIJZEN!$F$8)</f>
        <v>.</v>
      </c>
      <c r="O136" s="1068"/>
      <c r="P136" s="802"/>
      <c r="Q136" s="422"/>
      <c r="R136" s="65" t="s">
        <v>113</v>
      </c>
      <c r="S136" s="202"/>
      <c r="T136" s="202"/>
      <c r="U136" s="202"/>
      <c r="V136" s="531"/>
      <c r="W136" s="202"/>
      <c r="X136" s="65"/>
      <c r="Y136" s="65"/>
      <c r="Z136" s="202"/>
      <c r="AA136" s="67"/>
      <c r="AB136" s="65"/>
      <c r="AC136" s="65"/>
      <c r="AD136" s="67"/>
      <c r="AE136" s="206"/>
      <c r="AF136" s="206"/>
      <c r="AG136" s="67"/>
      <c r="AH136" s="65"/>
      <c r="AI136" s="65"/>
      <c r="AJ136" s="67"/>
      <c r="AK136" s="65"/>
      <c r="AL136" s="65"/>
      <c r="AM136" s="67"/>
      <c r="AN136" s="65"/>
      <c r="AO136" s="65"/>
      <c r="AP136" s="65"/>
      <c r="AQ136" s="65"/>
      <c r="AR136" s="65"/>
      <c r="AS136" s="65"/>
      <c r="AT136" s="61"/>
      <c r="AU136" s="61"/>
      <c r="AV136" s="61"/>
      <c r="AW136" s="61"/>
      <c r="AX136" s="804"/>
      <c r="AY136" s="61"/>
      <c r="AZ136" s="61"/>
      <c r="BA136" s="61"/>
      <c r="BB136" s="809"/>
      <c r="BC136" s="61"/>
      <c r="BD136" s="61"/>
      <c r="BE136" s="809"/>
      <c r="BF136" s="206"/>
      <c r="BG136" s="206"/>
      <c r="BH136" s="67"/>
      <c r="BI136" s="65"/>
      <c r="BJ136" s="65"/>
      <c r="BK136" s="67"/>
      <c r="BL136" s="65"/>
      <c r="BM136" s="65"/>
      <c r="BN136" s="67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409"/>
      <c r="DH136" s="409"/>
      <c r="DI136" s="409"/>
      <c r="DJ136" s="409"/>
      <c r="DK136" s="409"/>
      <c r="DL136" s="409"/>
      <c r="DM136" s="409"/>
      <c r="DN136" s="409"/>
      <c r="DO136" s="409"/>
      <c r="DP136" s="409"/>
      <c r="DQ136" s="409"/>
      <c r="DR136" s="409"/>
      <c r="DS136" s="409"/>
      <c r="DT136" s="409"/>
      <c r="DU136" s="409"/>
      <c r="DV136" s="409"/>
      <c r="DW136" s="409"/>
      <c r="DX136" s="409"/>
      <c r="DY136" s="409"/>
      <c r="DZ136" s="409"/>
      <c r="EA136" s="409"/>
      <c r="EB136" s="409"/>
      <c r="EC136" s="409"/>
      <c r="ED136" s="409"/>
    </row>
    <row r="137" spans="1:134" ht="15.6">
      <c r="A137" s="63"/>
      <c r="B137" s="1261" t="str">
        <f>IF(B$125="kies 1, 2 of 4",$BK$34,$BK$55)</f>
        <v>.</v>
      </c>
      <c r="C137" s="1262"/>
      <c r="D137" s="1261" t="str">
        <f>IF(D$125="kies 1, 2 of 4",$BK$34,$BK$55)</f>
        <v>.</v>
      </c>
      <c r="E137" s="1262"/>
      <c r="F137" s="1261" t="str">
        <f>IF(F$125="kies 1, 2 of 4",$BK$34,$BK$55)</f>
        <v>.</v>
      </c>
      <c r="G137" s="1262"/>
      <c r="H137" s="1261" t="str">
        <f>IF(H$125="kies 1, 2 of 4",$BK$34,$BK$55)</f>
        <v>.</v>
      </c>
      <c r="I137" s="1262"/>
      <c r="J137" s="1261" t="str">
        <f>IF(J$125="kies 1, 2 of 4",$BK$34,$BK$55)</f>
        <v>.</v>
      </c>
      <c r="K137" s="1263"/>
      <c r="L137" s="1262"/>
      <c r="M137" s="144"/>
      <c r="N137" s="1080" t="str">
        <f>IF(OR(J$133=".",J$133="geen saus",J$133="kies toevoeging saus --&gt;"),".",PRIJZEN!$F$8)</f>
        <v>.</v>
      </c>
      <c r="O137" s="1068"/>
      <c r="P137" s="802"/>
      <c r="Q137" s="422"/>
      <c r="R137" s="65" t="s">
        <v>94</v>
      </c>
      <c r="S137" s="202"/>
      <c r="T137" s="202"/>
      <c r="U137" s="202"/>
      <c r="V137" s="531"/>
      <c r="W137" s="202"/>
      <c r="X137" s="65"/>
      <c r="Y137" s="65"/>
      <c r="Z137" s="202"/>
      <c r="AA137" s="202"/>
      <c r="AB137" s="65"/>
      <c r="AC137" s="205"/>
      <c r="AD137" s="205"/>
      <c r="AE137" s="65"/>
      <c r="AF137" s="65"/>
      <c r="AG137" s="205"/>
      <c r="AH137" s="205"/>
      <c r="AI137" s="205"/>
      <c r="AJ137" s="202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805"/>
      <c r="AU137" s="805"/>
      <c r="AV137" s="805"/>
      <c r="AW137" s="805"/>
      <c r="AX137" s="805"/>
      <c r="AY137" s="61"/>
      <c r="AZ137" s="61"/>
      <c r="BA137" s="61"/>
      <c r="BB137" s="61"/>
      <c r="BC137" s="61"/>
      <c r="BD137" s="61"/>
      <c r="BE137" s="61"/>
      <c r="BF137" s="206"/>
      <c r="BG137" s="206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409"/>
      <c r="DH137" s="409"/>
      <c r="DI137" s="409"/>
      <c r="DJ137" s="409"/>
      <c r="DK137" s="409"/>
      <c r="DL137" s="409"/>
      <c r="DM137" s="409"/>
      <c r="DN137" s="409"/>
      <c r="DO137" s="409"/>
      <c r="DP137" s="409"/>
      <c r="DQ137" s="409"/>
      <c r="DR137" s="409"/>
      <c r="DS137" s="409"/>
      <c r="DT137" s="409"/>
      <c r="DU137" s="409"/>
      <c r="DV137" s="409"/>
      <c r="DW137" s="409"/>
      <c r="DX137" s="409"/>
      <c r="DY137" s="409"/>
      <c r="DZ137" s="409"/>
      <c r="EA137" s="409"/>
      <c r="EB137" s="409"/>
      <c r="EC137" s="409"/>
      <c r="ED137" s="409"/>
    </row>
    <row r="138" spans="1:134" ht="22.3">
      <c r="A138" s="61"/>
      <c r="B138" s="714" t="s">
        <v>127</v>
      </c>
      <c r="C138" s="1170" t="s">
        <v>115</v>
      </c>
      <c r="D138" s="1171"/>
      <c r="E138" s="1171"/>
      <c r="F138" s="1171"/>
      <c r="G138" s="1171"/>
      <c r="H138" s="1171"/>
      <c r="I138" s="1171"/>
      <c r="J138" s="1171"/>
      <c r="K138" s="1171"/>
      <c r="L138" s="1171"/>
      <c r="M138" s="1171"/>
      <c r="N138" s="1171"/>
      <c r="O138" s="1172"/>
      <c r="P138" s="187"/>
      <c r="Q138" s="65"/>
      <c r="R138" s="202"/>
      <c r="S138" s="202"/>
      <c r="T138" s="202"/>
      <c r="U138" s="202"/>
      <c r="V138" s="202"/>
      <c r="W138" s="202"/>
      <c r="X138" s="65"/>
      <c r="Y138" s="65"/>
      <c r="Z138" s="202"/>
      <c r="AA138" s="205"/>
      <c r="AB138" s="65"/>
      <c r="AC138" s="205"/>
      <c r="AD138" s="205"/>
      <c r="AE138" s="65"/>
      <c r="AF138" s="6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805"/>
      <c r="AY138" s="61"/>
      <c r="AZ138" s="61"/>
      <c r="BA138" s="61"/>
      <c r="BB138" s="61"/>
      <c r="BC138" s="61"/>
      <c r="BD138" s="61"/>
      <c r="BE138" s="65"/>
      <c r="BF138" s="206"/>
      <c r="BG138" s="206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206"/>
      <c r="BT138" s="65"/>
      <c r="BU138" s="65"/>
      <c r="BV138" s="65"/>
      <c r="BW138" s="65"/>
      <c r="BX138" s="65"/>
      <c r="BY138" s="65"/>
      <c r="BZ138" s="65"/>
      <c r="CA138" s="65"/>
      <c r="CB138" s="65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409"/>
      <c r="DH138" s="409"/>
      <c r="DI138" s="409"/>
      <c r="DJ138" s="409"/>
      <c r="DK138" s="409"/>
      <c r="DL138" s="409"/>
      <c r="DM138" s="409"/>
      <c r="DN138" s="409"/>
      <c r="DO138" s="409"/>
      <c r="DP138" s="409"/>
      <c r="DQ138" s="409"/>
      <c r="DR138" s="409"/>
      <c r="DS138" s="409"/>
      <c r="DT138" s="409"/>
      <c r="DU138" s="409"/>
      <c r="DV138" s="409"/>
      <c r="DW138" s="409"/>
      <c r="DX138" s="409"/>
      <c r="DY138" s="409"/>
      <c r="DZ138" s="409"/>
      <c r="EA138" s="409"/>
      <c r="EB138" s="409"/>
      <c r="EC138" s="409"/>
      <c r="ED138" s="409"/>
    </row>
    <row r="139" spans="1:134" ht="18" customHeight="1">
      <c r="A139" s="61"/>
      <c r="B139" s="1173"/>
      <c r="C139" s="1174"/>
      <c r="D139" s="1175"/>
      <c r="E139" s="1059" t="s">
        <v>117</v>
      </c>
      <c r="F139" s="1060"/>
      <c r="G139" s="1060"/>
      <c r="H139" s="1060"/>
      <c r="I139" s="1061"/>
      <c r="J139" s="1059" t="s">
        <v>116</v>
      </c>
      <c r="K139" s="1060"/>
      <c r="L139" s="1060"/>
      <c r="M139" s="1061"/>
      <c r="N139" s="1100" t="str">
        <f>IF(OR($E139="klik &amp; kies  Tapa ---&gt;",$J139="klik &amp; kies aantal Bakjes/Bowls ---&gt;"),"",SUM($Q139:$AT139))</f>
        <v/>
      </c>
      <c r="O139" s="1101"/>
      <c r="P139" s="359"/>
      <c r="Q139" s="364">
        <f t="shared" ref="Q139:Q149" si="19">IF($E139=$AW$140,$BC$140*$J139,0)</f>
        <v>0</v>
      </c>
      <c r="R139" s="364">
        <f t="shared" ref="R139:R149" si="20">IF($E139=$AW$141,$BC$141*$J139,0)</f>
        <v>0</v>
      </c>
      <c r="S139" s="364">
        <f t="shared" ref="S139:S149" si="21">IF($E139=$AW$142,$BC$142*$J139,0)</f>
        <v>0</v>
      </c>
      <c r="T139" s="364">
        <f t="shared" ref="T139:T149" si="22">IF($E139=$AW$143,$BC$143*$J139,0)</f>
        <v>0</v>
      </c>
      <c r="U139" s="364">
        <f t="shared" ref="U139:U149" si="23">IF($E139=$AW$144,$BC$144*$J139,0)</f>
        <v>0</v>
      </c>
      <c r="V139" s="364">
        <f>IF($E139=$AW$145,$BC$145*$J139,0)</f>
        <v>0</v>
      </c>
      <c r="W139" s="364">
        <f t="shared" ref="W139:W149" si="24">IF($E139=$AW$146,$BC$146*$J139,0)</f>
        <v>0</v>
      </c>
      <c r="X139" s="364">
        <f t="shared" ref="X139:X149" si="25">IF($E139=$AW$147,$BC$147*$J139,0)</f>
        <v>0</v>
      </c>
      <c r="Y139" s="364">
        <f t="shared" ref="Y139:Y149" si="26">IF($E139=$AW$148,$BC$148*$J139,0)</f>
        <v>0</v>
      </c>
      <c r="Z139" s="364">
        <f t="shared" ref="Z139:Z149" si="27">IF($E139=$AW$149,$BC$149*$J139,0)</f>
        <v>0</v>
      </c>
      <c r="AA139" s="364">
        <f t="shared" ref="AA139:AA149" si="28">IF($E139=$AW$150,$BC$150*$J139,0)</f>
        <v>0</v>
      </c>
      <c r="AB139" s="364">
        <f t="shared" ref="AB139:AB149" si="29">IF($E139=$AW$151,$BC$151*$J139,0)</f>
        <v>0</v>
      </c>
      <c r="AC139" s="364">
        <f t="shared" ref="AC139:AC149" si="30">IF($E139=$AW$152,$BC$152*$J139,0)</f>
        <v>0</v>
      </c>
      <c r="AD139" s="364">
        <f t="shared" ref="AD139:AD149" si="31">IF($E139=$AW$153,$BC$153*$J139,0)</f>
        <v>0</v>
      </c>
      <c r="AE139" s="364">
        <f t="shared" ref="AE139:AE149" si="32">IF($E139=$AW$154,$BC$154*$J139,0)</f>
        <v>0</v>
      </c>
      <c r="AF139" s="364">
        <f t="shared" ref="AF139:AF149" si="33">IF($E139=$AW$155,$BC$155*$J139,0)</f>
        <v>0</v>
      </c>
      <c r="AG139" s="364">
        <f>IF($E139=$AW$156,$BC$156*$J139,0)</f>
        <v>0</v>
      </c>
      <c r="AH139" s="364">
        <f>IF($E139=$AW$157,$BC$157*$J139,0)</f>
        <v>0</v>
      </c>
      <c r="AI139" s="364">
        <f>IF($E139=$AW$158,$BC$158*$J139,0)</f>
        <v>0</v>
      </c>
      <c r="AJ139" s="364">
        <f>IF($E139=$AW$159,$BC$159*$J139,0)</f>
        <v>0</v>
      </c>
      <c r="AK139" s="364">
        <f>IF($E139=$AW$160,$BC$160*$J139,0)</f>
        <v>0</v>
      </c>
      <c r="AL139" s="364">
        <f>IF($E139=$AW$161,$BC$161*$J139,0)</f>
        <v>0</v>
      </c>
      <c r="AM139" s="364">
        <f>IF($E139=$AW$162,$BC$162*$J139,0)</f>
        <v>0</v>
      </c>
      <c r="AN139" s="364">
        <f>IF($E139=$AW$163,$BC$163*$J139,0)</f>
        <v>0</v>
      </c>
      <c r="AO139" s="364">
        <f>IF($E139=$AW$164,$BC$164*$J139,0)</f>
        <v>0</v>
      </c>
      <c r="AP139" s="364">
        <f>IF($E139=$AW$165,$BC$165*$J139,0)</f>
        <v>0</v>
      </c>
      <c r="AQ139" s="364">
        <f>IF($E139=$AW$166,$BC$166*$J139,0)</f>
        <v>0</v>
      </c>
      <c r="AR139" s="364">
        <f>IF($E139=$AW$167,$BC$167*$J139,0)</f>
        <v>0</v>
      </c>
      <c r="AS139" s="364">
        <f>IF($E139=$AW$168,$BC$168*$J139,0)</f>
        <v>0</v>
      </c>
      <c r="AT139" s="364">
        <f>IF($E139=$AW$169,$BC$169*$J139,0)</f>
        <v>0</v>
      </c>
      <c r="AU139" s="364"/>
      <c r="AV139" s="205"/>
      <c r="AW139" s="205" t="s">
        <v>117</v>
      </c>
      <c r="AX139" s="805"/>
      <c r="AY139" s="805"/>
      <c r="AZ139" s="805"/>
      <c r="BA139" s="805"/>
      <c r="BB139" s="805"/>
      <c r="BC139" s="810"/>
      <c r="BD139" s="805"/>
      <c r="BE139" s="65" t="s">
        <v>116</v>
      </c>
      <c r="BF139" s="206"/>
      <c r="BG139" s="206"/>
      <c r="BH139" s="67"/>
      <c r="BI139" s="65"/>
      <c r="BJ139" s="65" t="s">
        <v>180</v>
      </c>
      <c r="BK139" s="67"/>
      <c r="BL139" s="65"/>
      <c r="BM139" s="65" t="s">
        <v>190</v>
      </c>
      <c r="BN139" s="67"/>
      <c r="BO139" s="65"/>
      <c r="BP139" s="65" t="s">
        <v>191</v>
      </c>
      <c r="BQ139" s="65"/>
      <c r="BR139" s="65"/>
      <c r="BS139" s="65" t="s">
        <v>192</v>
      </c>
      <c r="BT139" s="65"/>
      <c r="BU139" s="65"/>
      <c r="BV139" s="65" t="s">
        <v>193</v>
      </c>
      <c r="BW139" s="65"/>
      <c r="BX139" s="65"/>
      <c r="BY139" s="65" t="s">
        <v>194</v>
      </c>
      <c r="BZ139" s="65"/>
      <c r="CA139" s="65"/>
      <c r="CB139" s="65" t="s">
        <v>195</v>
      </c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409"/>
      <c r="DH139" s="409"/>
      <c r="DI139" s="409"/>
      <c r="DJ139" s="409"/>
      <c r="DK139" s="409"/>
      <c r="DL139" s="409"/>
      <c r="DM139" s="409"/>
      <c r="DN139" s="409"/>
      <c r="DO139" s="409"/>
      <c r="DP139" s="409"/>
      <c r="DQ139" s="409"/>
      <c r="DR139" s="409"/>
      <c r="DS139" s="409"/>
      <c r="DT139" s="409"/>
      <c r="DU139" s="409"/>
      <c r="DV139" s="409"/>
      <c r="DW139" s="409"/>
      <c r="DX139" s="409"/>
      <c r="DY139" s="409"/>
      <c r="DZ139" s="409"/>
      <c r="EA139" s="409"/>
      <c r="EB139" s="409"/>
      <c r="EC139" s="409"/>
      <c r="ED139" s="409"/>
    </row>
    <row r="140" spans="1:134" ht="18" customHeight="1">
      <c r="A140" s="61"/>
      <c r="B140" s="1053"/>
      <c r="C140" s="1054"/>
      <c r="D140" s="1055"/>
      <c r="E140" s="1059" t="s">
        <v>117</v>
      </c>
      <c r="F140" s="1060"/>
      <c r="G140" s="1060"/>
      <c r="H140" s="1060"/>
      <c r="I140" s="1061"/>
      <c r="J140" s="1059" t="s">
        <v>116</v>
      </c>
      <c r="K140" s="1060"/>
      <c r="L140" s="1060"/>
      <c r="M140" s="1061"/>
      <c r="N140" s="1043" t="str">
        <f>IF(OR($E140="klik &amp; kies  Tapa ---&gt;",$J140="klik &amp; kies aantal Bakjes/Bowls ---&gt;"),"",SUM($Q140:$AT140))</f>
        <v/>
      </c>
      <c r="O140" s="1044"/>
      <c r="P140" s="359"/>
      <c r="Q140" s="364">
        <f t="shared" si="19"/>
        <v>0</v>
      </c>
      <c r="R140" s="364">
        <f t="shared" si="20"/>
        <v>0</v>
      </c>
      <c r="S140" s="364">
        <f t="shared" si="21"/>
        <v>0</v>
      </c>
      <c r="T140" s="364">
        <f t="shared" si="22"/>
        <v>0</v>
      </c>
      <c r="U140" s="364">
        <f t="shared" si="23"/>
        <v>0</v>
      </c>
      <c r="V140" s="364">
        <f t="shared" ref="V140:V149" si="34">IF($E140=$AW$145,$BC$145*$J140,0)</f>
        <v>0</v>
      </c>
      <c r="W140" s="364">
        <f t="shared" si="24"/>
        <v>0</v>
      </c>
      <c r="X140" s="364">
        <f t="shared" si="25"/>
        <v>0</v>
      </c>
      <c r="Y140" s="364">
        <f t="shared" si="26"/>
        <v>0</v>
      </c>
      <c r="Z140" s="364">
        <f t="shared" si="27"/>
        <v>0</v>
      </c>
      <c r="AA140" s="364">
        <f t="shared" si="28"/>
        <v>0</v>
      </c>
      <c r="AB140" s="364">
        <f t="shared" si="29"/>
        <v>0</v>
      </c>
      <c r="AC140" s="364">
        <f t="shared" si="30"/>
        <v>0</v>
      </c>
      <c r="AD140" s="364">
        <f t="shared" si="31"/>
        <v>0</v>
      </c>
      <c r="AE140" s="364">
        <f t="shared" si="32"/>
        <v>0</v>
      </c>
      <c r="AF140" s="364">
        <f t="shared" si="33"/>
        <v>0</v>
      </c>
      <c r="AG140" s="364">
        <f t="shared" ref="AG140:AG149" si="35">IF($E140=$AW$156,$BC$156*$J140,0)</f>
        <v>0</v>
      </c>
      <c r="AH140" s="364">
        <f t="shared" ref="AH140:AH149" si="36">IF($E140=$AW$157,$BC$157*$J140,0)</f>
        <v>0</v>
      </c>
      <c r="AI140" s="364">
        <f t="shared" ref="AI140:AI149" si="37">IF($E140=$AW$158,$BC$158*$J140,0)</f>
        <v>0</v>
      </c>
      <c r="AJ140" s="364">
        <f t="shared" ref="AJ140:AJ149" si="38">IF($E140=$AW$159,$BC$159*$J140,0)</f>
        <v>0</v>
      </c>
      <c r="AK140" s="364">
        <f t="shared" ref="AK140:AK149" si="39">IF($E140=$AW$160,$BC$160*$J140,0)</f>
        <v>0</v>
      </c>
      <c r="AL140" s="364">
        <f t="shared" ref="AL140:AL149" si="40">IF($E140=$AW$161,$BC$161*$J140,0)</f>
        <v>0</v>
      </c>
      <c r="AM140" s="364">
        <f t="shared" ref="AM140:AM149" si="41">IF($E140=$AW$162,$BC$162*$J140,0)</f>
        <v>0</v>
      </c>
      <c r="AN140" s="364">
        <f t="shared" ref="AN140:AN149" si="42">IF($E140=$AW$163,$BC$163*$J140,0)</f>
        <v>0</v>
      </c>
      <c r="AO140" s="364">
        <f t="shared" ref="AO140:AO149" si="43">IF($E140=$AW$164,$BC$164*$J140,0)</f>
        <v>0</v>
      </c>
      <c r="AP140" s="364">
        <f t="shared" ref="AP140:AP149" si="44">IF($E140=$AW$165,$BC$165*$J140,0)</f>
        <v>0</v>
      </c>
      <c r="AQ140" s="364">
        <f t="shared" ref="AQ140:AQ149" si="45">IF($E140=$AW$166,$BC$166*$J140,0)</f>
        <v>0</v>
      </c>
      <c r="AR140" s="364">
        <f t="shared" ref="AR140:AR149" si="46">IF($E140=$AW$167,$BC$167*$J140,0)</f>
        <v>0</v>
      </c>
      <c r="AS140" s="364">
        <f t="shared" ref="AS140:AS149" si="47">IF($E140=$AW$168,$BC$168*$J140,0)</f>
        <v>0</v>
      </c>
      <c r="AT140" s="364">
        <f t="shared" ref="AT140:AT149" si="48">IF($E140=$AW$169,$BC$169*$J140,0)</f>
        <v>0</v>
      </c>
      <c r="AU140" s="364"/>
      <c r="AV140" s="205"/>
      <c r="AW140" s="205" t="s">
        <v>131</v>
      </c>
      <c r="AX140" s="805"/>
      <c r="AY140" s="805"/>
      <c r="AZ140" s="805"/>
      <c r="BA140" s="805"/>
      <c r="BB140" s="805"/>
      <c r="BC140" s="810">
        <f>PRIJZEN!F12</f>
        <v>7.45</v>
      </c>
      <c r="BD140" s="805"/>
      <c r="BE140" s="65">
        <v>1</v>
      </c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409"/>
      <c r="DH140" s="409"/>
      <c r="DI140" s="409"/>
      <c r="DJ140" s="409"/>
      <c r="DK140" s="409"/>
      <c r="DL140" s="409"/>
      <c r="DM140" s="409"/>
      <c r="DN140" s="409"/>
      <c r="DO140" s="409"/>
      <c r="DP140" s="409"/>
      <c r="DQ140" s="409"/>
      <c r="DR140" s="409"/>
      <c r="DS140" s="409"/>
      <c r="DT140" s="409"/>
      <c r="DU140" s="409"/>
      <c r="DV140" s="409"/>
      <c r="DW140" s="409"/>
      <c r="DX140" s="409"/>
      <c r="DY140" s="409"/>
      <c r="DZ140" s="409"/>
      <c r="EA140" s="409"/>
      <c r="EB140" s="409"/>
      <c r="EC140" s="409"/>
      <c r="ED140" s="409"/>
    </row>
    <row r="141" spans="1:134" ht="18" customHeight="1">
      <c r="A141" s="61"/>
      <c r="B141" s="1053"/>
      <c r="C141" s="1054"/>
      <c r="D141" s="1055"/>
      <c r="E141" s="1059" t="s">
        <v>117</v>
      </c>
      <c r="F141" s="1060"/>
      <c r="G141" s="1060"/>
      <c r="H141" s="1060"/>
      <c r="I141" s="1061"/>
      <c r="J141" s="1059" t="s">
        <v>116</v>
      </c>
      <c r="K141" s="1060"/>
      <c r="L141" s="1060"/>
      <c r="M141" s="1061"/>
      <c r="N141" s="1080" t="str">
        <f t="shared" ref="N141:N149" si="49">IF(OR($E141="klik &amp; kies  Tapa ---&gt;",$J141="klik &amp; kies aantal Bakjes/Bowls ---&gt;"),"",SUM($Q141:$AT141))</f>
        <v/>
      </c>
      <c r="O141" s="1068"/>
      <c r="P141" s="359"/>
      <c r="Q141" s="364">
        <f t="shared" si="19"/>
        <v>0</v>
      </c>
      <c r="R141" s="364">
        <f t="shared" si="20"/>
        <v>0</v>
      </c>
      <c r="S141" s="364">
        <f t="shared" si="21"/>
        <v>0</v>
      </c>
      <c r="T141" s="364">
        <f t="shared" si="22"/>
        <v>0</v>
      </c>
      <c r="U141" s="364">
        <f t="shared" si="23"/>
        <v>0</v>
      </c>
      <c r="V141" s="364">
        <f t="shared" si="34"/>
        <v>0</v>
      </c>
      <c r="W141" s="364">
        <f t="shared" si="24"/>
        <v>0</v>
      </c>
      <c r="X141" s="364">
        <f t="shared" si="25"/>
        <v>0</v>
      </c>
      <c r="Y141" s="364">
        <f t="shared" si="26"/>
        <v>0</v>
      </c>
      <c r="Z141" s="364">
        <f t="shared" si="27"/>
        <v>0</v>
      </c>
      <c r="AA141" s="364">
        <f t="shared" si="28"/>
        <v>0</v>
      </c>
      <c r="AB141" s="364">
        <f t="shared" si="29"/>
        <v>0</v>
      </c>
      <c r="AC141" s="364">
        <f t="shared" si="30"/>
        <v>0</v>
      </c>
      <c r="AD141" s="364">
        <f t="shared" si="31"/>
        <v>0</v>
      </c>
      <c r="AE141" s="364">
        <f t="shared" si="32"/>
        <v>0</v>
      </c>
      <c r="AF141" s="364">
        <f t="shared" si="33"/>
        <v>0</v>
      </c>
      <c r="AG141" s="364">
        <f t="shared" si="35"/>
        <v>0</v>
      </c>
      <c r="AH141" s="364">
        <f t="shared" si="36"/>
        <v>0</v>
      </c>
      <c r="AI141" s="364">
        <f t="shared" si="37"/>
        <v>0</v>
      </c>
      <c r="AJ141" s="364">
        <f t="shared" si="38"/>
        <v>0</v>
      </c>
      <c r="AK141" s="364">
        <f t="shared" si="39"/>
        <v>0</v>
      </c>
      <c r="AL141" s="364">
        <f t="shared" si="40"/>
        <v>0</v>
      </c>
      <c r="AM141" s="364">
        <f t="shared" si="41"/>
        <v>0</v>
      </c>
      <c r="AN141" s="364">
        <f t="shared" si="42"/>
        <v>0</v>
      </c>
      <c r="AO141" s="364">
        <f t="shared" si="43"/>
        <v>0</v>
      </c>
      <c r="AP141" s="364">
        <f t="shared" si="44"/>
        <v>0</v>
      </c>
      <c r="AQ141" s="364">
        <f t="shared" si="45"/>
        <v>0</v>
      </c>
      <c r="AR141" s="364">
        <f t="shared" si="46"/>
        <v>0</v>
      </c>
      <c r="AS141" s="364">
        <f t="shared" si="47"/>
        <v>0</v>
      </c>
      <c r="AT141" s="364">
        <f t="shared" si="48"/>
        <v>0</v>
      </c>
      <c r="AU141" s="364"/>
      <c r="AV141" s="205"/>
      <c r="AW141" s="205" t="s">
        <v>132</v>
      </c>
      <c r="AX141" s="805"/>
      <c r="AY141" s="805"/>
      <c r="AZ141" s="805"/>
      <c r="BA141" s="805"/>
      <c r="BB141" s="805"/>
      <c r="BC141" s="810">
        <f>PRIJZEN!F13</f>
        <v>7.45</v>
      </c>
      <c r="BD141" s="805"/>
      <c r="BE141" s="65">
        <v>2</v>
      </c>
      <c r="BF141" s="65"/>
      <c r="BG141" s="65"/>
      <c r="BH141" s="65"/>
      <c r="BI141" s="65"/>
      <c r="BJ141" s="67" t="s">
        <v>181</v>
      </c>
      <c r="BK141" s="65"/>
      <c r="BL141" s="65"/>
      <c r="BM141" s="67" t="s">
        <v>181</v>
      </c>
      <c r="BN141" s="65"/>
      <c r="BO141" s="65"/>
      <c r="BP141" s="67" t="s">
        <v>181</v>
      </c>
      <c r="BQ141" s="65"/>
      <c r="BR141" s="65"/>
      <c r="BS141" s="67" t="s">
        <v>181</v>
      </c>
      <c r="BT141" s="65"/>
      <c r="BU141" s="65"/>
      <c r="BV141" s="67" t="s">
        <v>181</v>
      </c>
      <c r="BW141" s="65"/>
      <c r="BX141" s="65"/>
      <c r="BY141" s="67" t="s">
        <v>181</v>
      </c>
      <c r="BZ141" s="65"/>
      <c r="CA141" s="65"/>
      <c r="CB141" s="67" t="s">
        <v>181</v>
      </c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409"/>
      <c r="DH141" s="409"/>
      <c r="DI141" s="409"/>
      <c r="DJ141" s="409"/>
      <c r="DK141" s="409"/>
      <c r="DL141" s="409"/>
      <c r="DM141" s="409"/>
      <c r="DN141" s="409"/>
      <c r="DO141" s="409"/>
      <c r="DP141" s="409"/>
      <c r="DQ141" s="409"/>
      <c r="DR141" s="409"/>
      <c r="DS141" s="409"/>
      <c r="DT141" s="409"/>
      <c r="DU141" s="409"/>
      <c r="DV141" s="409"/>
      <c r="DW141" s="409"/>
      <c r="DX141" s="409"/>
      <c r="DY141" s="409"/>
      <c r="DZ141" s="409"/>
      <c r="EA141" s="409"/>
      <c r="EB141" s="409"/>
      <c r="EC141" s="409"/>
      <c r="ED141" s="409"/>
    </row>
    <row r="142" spans="1:134" ht="18" customHeight="1">
      <c r="A142" s="61"/>
      <c r="B142" s="1053" t="s">
        <v>118</v>
      </c>
      <c r="C142" s="1054"/>
      <c r="D142" s="1055"/>
      <c r="E142" s="1059" t="s">
        <v>117</v>
      </c>
      <c r="F142" s="1060"/>
      <c r="G142" s="1060"/>
      <c r="H142" s="1060"/>
      <c r="I142" s="1061"/>
      <c r="J142" s="1059" t="s">
        <v>116</v>
      </c>
      <c r="K142" s="1060"/>
      <c r="L142" s="1060"/>
      <c r="M142" s="1061"/>
      <c r="N142" s="1043" t="str">
        <f t="shared" si="49"/>
        <v/>
      </c>
      <c r="O142" s="1044"/>
      <c r="P142" s="359"/>
      <c r="Q142" s="364">
        <f t="shared" si="19"/>
        <v>0</v>
      </c>
      <c r="R142" s="364">
        <f t="shared" si="20"/>
        <v>0</v>
      </c>
      <c r="S142" s="364">
        <f t="shared" si="21"/>
        <v>0</v>
      </c>
      <c r="T142" s="364">
        <f t="shared" si="22"/>
        <v>0</v>
      </c>
      <c r="U142" s="364">
        <f t="shared" si="23"/>
        <v>0</v>
      </c>
      <c r="V142" s="364">
        <f t="shared" si="34"/>
        <v>0</v>
      </c>
      <c r="W142" s="364">
        <f t="shared" si="24"/>
        <v>0</v>
      </c>
      <c r="X142" s="364">
        <f t="shared" si="25"/>
        <v>0</v>
      </c>
      <c r="Y142" s="364">
        <f t="shared" si="26"/>
        <v>0</v>
      </c>
      <c r="Z142" s="364">
        <f t="shared" si="27"/>
        <v>0</v>
      </c>
      <c r="AA142" s="364">
        <f t="shared" si="28"/>
        <v>0</v>
      </c>
      <c r="AB142" s="364">
        <f t="shared" si="29"/>
        <v>0</v>
      </c>
      <c r="AC142" s="364">
        <f t="shared" si="30"/>
        <v>0</v>
      </c>
      <c r="AD142" s="364">
        <f t="shared" si="31"/>
        <v>0</v>
      </c>
      <c r="AE142" s="364">
        <f t="shared" si="32"/>
        <v>0</v>
      </c>
      <c r="AF142" s="364">
        <f t="shared" si="33"/>
        <v>0</v>
      </c>
      <c r="AG142" s="364">
        <f t="shared" si="35"/>
        <v>0</v>
      </c>
      <c r="AH142" s="364">
        <f t="shared" si="36"/>
        <v>0</v>
      </c>
      <c r="AI142" s="364">
        <f t="shared" si="37"/>
        <v>0</v>
      </c>
      <c r="AJ142" s="364">
        <f t="shared" si="38"/>
        <v>0</v>
      </c>
      <c r="AK142" s="364">
        <f t="shared" si="39"/>
        <v>0</v>
      </c>
      <c r="AL142" s="364">
        <f t="shared" si="40"/>
        <v>0</v>
      </c>
      <c r="AM142" s="364">
        <f t="shared" si="41"/>
        <v>0</v>
      </c>
      <c r="AN142" s="364">
        <f t="shared" si="42"/>
        <v>0</v>
      </c>
      <c r="AO142" s="364">
        <f t="shared" si="43"/>
        <v>0</v>
      </c>
      <c r="AP142" s="364">
        <f t="shared" si="44"/>
        <v>0</v>
      </c>
      <c r="AQ142" s="364">
        <f t="shared" si="45"/>
        <v>0</v>
      </c>
      <c r="AR142" s="364">
        <f t="shared" si="46"/>
        <v>0</v>
      </c>
      <c r="AS142" s="364">
        <f t="shared" si="47"/>
        <v>0</v>
      </c>
      <c r="AT142" s="364">
        <f t="shared" si="48"/>
        <v>0</v>
      </c>
      <c r="AU142" s="364"/>
      <c r="AV142" s="205"/>
      <c r="AW142" s="205" t="s">
        <v>133</v>
      </c>
      <c r="AX142" s="805"/>
      <c r="AY142" s="805"/>
      <c r="AZ142" s="805"/>
      <c r="BA142" s="805"/>
      <c r="BB142" s="805"/>
      <c r="BC142" s="810">
        <f>PRIJZEN!F14</f>
        <v>7.45</v>
      </c>
      <c r="BD142" s="805"/>
      <c r="BE142" s="65">
        <v>3</v>
      </c>
      <c r="BF142" s="65"/>
      <c r="BG142" s="65"/>
      <c r="BH142" s="65"/>
      <c r="BI142" s="65"/>
      <c r="BJ142" s="67" t="s">
        <v>485</v>
      </c>
      <c r="BK142" s="65"/>
      <c r="BL142" s="65"/>
      <c r="BM142" s="67" t="s">
        <v>485</v>
      </c>
      <c r="BN142" s="65"/>
      <c r="BO142" s="65"/>
      <c r="BP142" s="67" t="s">
        <v>485</v>
      </c>
      <c r="BQ142" s="65"/>
      <c r="BR142" s="65"/>
      <c r="BS142" s="67" t="s">
        <v>485</v>
      </c>
      <c r="BT142" s="65"/>
      <c r="BU142" s="65"/>
      <c r="BV142" s="67" t="s">
        <v>485</v>
      </c>
      <c r="BW142" s="65"/>
      <c r="BX142" s="65"/>
      <c r="BY142" s="67" t="s">
        <v>485</v>
      </c>
      <c r="BZ142" s="65"/>
      <c r="CA142" s="65"/>
      <c r="CB142" s="67" t="s">
        <v>485</v>
      </c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409"/>
      <c r="DH142" s="409"/>
      <c r="DI142" s="409"/>
      <c r="DJ142" s="409"/>
      <c r="DK142" s="409"/>
      <c r="DL142" s="409"/>
      <c r="DM142" s="409"/>
      <c r="DN142" s="409"/>
      <c r="DO142" s="409"/>
      <c r="DP142" s="409"/>
      <c r="DQ142" s="409"/>
      <c r="DR142" s="409"/>
      <c r="DS142" s="409"/>
      <c r="DT142" s="409"/>
      <c r="DU142" s="409"/>
      <c r="DV142" s="409"/>
      <c r="DW142" s="409"/>
      <c r="DX142" s="409"/>
      <c r="DY142" s="409"/>
      <c r="DZ142" s="409"/>
      <c r="EA142" s="409"/>
      <c r="EB142" s="409"/>
      <c r="EC142" s="409"/>
      <c r="ED142" s="409"/>
    </row>
    <row r="143" spans="1:134" ht="18" customHeight="1">
      <c r="A143" s="61"/>
      <c r="B143" s="1053" t="s">
        <v>196</v>
      </c>
      <c r="C143" s="1054"/>
      <c r="D143" s="1055"/>
      <c r="E143" s="1059" t="s">
        <v>117</v>
      </c>
      <c r="F143" s="1060"/>
      <c r="G143" s="1060"/>
      <c r="H143" s="1060"/>
      <c r="I143" s="1061"/>
      <c r="J143" s="1059" t="s">
        <v>116</v>
      </c>
      <c r="K143" s="1060"/>
      <c r="L143" s="1060"/>
      <c r="M143" s="1061"/>
      <c r="N143" s="1080" t="str">
        <f t="shared" si="49"/>
        <v/>
      </c>
      <c r="O143" s="1068"/>
      <c r="P143" s="359"/>
      <c r="Q143" s="364">
        <f t="shared" si="19"/>
        <v>0</v>
      </c>
      <c r="R143" s="364">
        <f t="shared" si="20"/>
        <v>0</v>
      </c>
      <c r="S143" s="364">
        <f t="shared" si="21"/>
        <v>0</v>
      </c>
      <c r="T143" s="364">
        <f t="shared" si="22"/>
        <v>0</v>
      </c>
      <c r="U143" s="364">
        <f t="shared" si="23"/>
        <v>0</v>
      </c>
      <c r="V143" s="364">
        <f t="shared" si="34"/>
        <v>0</v>
      </c>
      <c r="W143" s="364">
        <f t="shared" si="24"/>
        <v>0</v>
      </c>
      <c r="X143" s="364">
        <f t="shared" si="25"/>
        <v>0</v>
      </c>
      <c r="Y143" s="364">
        <f t="shared" si="26"/>
        <v>0</v>
      </c>
      <c r="Z143" s="364">
        <f t="shared" si="27"/>
        <v>0</v>
      </c>
      <c r="AA143" s="364">
        <f t="shared" si="28"/>
        <v>0</v>
      </c>
      <c r="AB143" s="364">
        <f t="shared" si="29"/>
        <v>0</v>
      </c>
      <c r="AC143" s="364">
        <f t="shared" si="30"/>
        <v>0</v>
      </c>
      <c r="AD143" s="364">
        <f t="shared" si="31"/>
        <v>0</v>
      </c>
      <c r="AE143" s="364">
        <f t="shared" si="32"/>
        <v>0</v>
      </c>
      <c r="AF143" s="364">
        <f t="shared" si="33"/>
        <v>0</v>
      </c>
      <c r="AG143" s="364">
        <f t="shared" si="35"/>
        <v>0</v>
      </c>
      <c r="AH143" s="364">
        <f t="shared" si="36"/>
        <v>0</v>
      </c>
      <c r="AI143" s="364">
        <f t="shared" si="37"/>
        <v>0</v>
      </c>
      <c r="AJ143" s="364">
        <f t="shared" si="38"/>
        <v>0</v>
      </c>
      <c r="AK143" s="364">
        <f t="shared" si="39"/>
        <v>0</v>
      </c>
      <c r="AL143" s="364">
        <f t="shared" si="40"/>
        <v>0</v>
      </c>
      <c r="AM143" s="364">
        <f t="shared" si="41"/>
        <v>0</v>
      </c>
      <c r="AN143" s="364">
        <f t="shared" si="42"/>
        <v>0</v>
      </c>
      <c r="AO143" s="364">
        <f t="shared" si="43"/>
        <v>0</v>
      </c>
      <c r="AP143" s="364">
        <f t="shared" si="44"/>
        <v>0</v>
      </c>
      <c r="AQ143" s="364">
        <f t="shared" si="45"/>
        <v>0</v>
      </c>
      <c r="AR143" s="364">
        <f t="shared" si="46"/>
        <v>0</v>
      </c>
      <c r="AS143" s="364">
        <f t="shared" si="47"/>
        <v>0</v>
      </c>
      <c r="AT143" s="364">
        <f t="shared" si="48"/>
        <v>0</v>
      </c>
      <c r="AU143" s="364"/>
      <c r="AV143" s="205"/>
      <c r="AW143" s="205" t="s">
        <v>134</v>
      </c>
      <c r="AX143" s="805"/>
      <c r="AY143" s="805"/>
      <c r="AZ143" s="805"/>
      <c r="BA143" s="805"/>
      <c r="BB143" s="805"/>
      <c r="BC143" s="810">
        <f>PRIJZEN!F15</f>
        <v>7.45</v>
      </c>
      <c r="BD143" s="805"/>
      <c r="BE143" s="65">
        <v>4</v>
      </c>
      <c r="BF143" s="65"/>
      <c r="BG143" s="65"/>
      <c r="BH143" s="65"/>
      <c r="BI143" s="65"/>
      <c r="BJ143" s="67" t="s">
        <v>182</v>
      </c>
      <c r="BK143" s="65"/>
      <c r="BL143" s="65"/>
      <c r="BM143" s="67" t="s">
        <v>182</v>
      </c>
      <c r="BN143" s="65"/>
      <c r="BO143" s="65"/>
      <c r="BP143" s="67" t="s">
        <v>182</v>
      </c>
      <c r="BQ143" s="65"/>
      <c r="BR143" s="65"/>
      <c r="BS143" s="67" t="s">
        <v>182</v>
      </c>
      <c r="BT143" s="65"/>
      <c r="BU143" s="65"/>
      <c r="BV143" s="67" t="s">
        <v>182</v>
      </c>
      <c r="BW143" s="65"/>
      <c r="BX143" s="65"/>
      <c r="BY143" s="67" t="s">
        <v>182</v>
      </c>
      <c r="BZ143" s="65"/>
      <c r="CA143" s="65"/>
      <c r="CB143" s="67" t="s">
        <v>182</v>
      </c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409"/>
      <c r="DH143" s="409"/>
      <c r="DI143" s="409"/>
      <c r="DJ143" s="409"/>
      <c r="DK143" s="409"/>
      <c r="DL143" s="409"/>
      <c r="DM143" s="409"/>
      <c r="DN143" s="409"/>
      <c r="DO143" s="409"/>
      <c r="DP143" s="409"/>
      <c r="DQ143" s="409"/>
      <c r="DR143" s="409"/>
      <c r="DS143" s="409"/>
      <c r="DT143" s="409"/>
      <c r="DU143" s="409"/>
      <c r="DV143" s="409"/>
      <c r="DW143" s="409"/>
      <c r="DX143" s="409"/>
      <c r="DY143" s="409"/>
      <c r="DZ143" s="409"/>
      <c r="EA143" s="409"/>
      <c r="EB143" s="409"/>
      <c r="EC143" s="409"/>
      <c r="ED143" s="409"/>
    </row>
    <row r="144" spans="1:134" ht="18" customHeight="1">
      <c r="A144" s="61"/>
      <c r="B144" s="1053" t="s">
        <v>197</v>
      </c>
      <c r="C144" s="1054"/>
      <c r="D144" s="1055"/>
      <c r="E144" s="1059" t="s">
        <v>117</v>
      </c>
      <c r="F144" s="1060"/>
      <c r="G144" s="1060"/>
      <c r="H144" s="1060"/>
      <c r="I144" s="1061"/>
      <c r="J144" s="1059" t="s">
        <v>116</v>
      </c>
      <c r="K144" s="1060"/>
      <c r="L144" s="1060"/>
      <c r="M144" s="1061"/>
      <c r="N144" s="1157" t="str">
        <f t="shared" si="49"/>
        <v/>
      </c>
      <c r="O144" s="1158"/>
      <c r="P144" s="359"/>
      <c r="Q144" s="364">
        <f t="shared" si="19"/>
        <v>0</v>
      </c>
      <c r="R144" s="364">
        <f t="shared" si="20"/>
        <v>0</v>
      </c>
      <c r="S144" s="364">
        <f t="shared" si="21"/>
        <v>0</v>
      </c>
      <c r="T144" s="364">
        <f t="shared" si="22"/>
        <v>0</v>
      </c>
      <c r="U144" s="364">
        <f t="shared" si="23"/>
        <v>0</v>
      </c>
      <c r="V144" s="364">
        <f t="shared" si="34"/>
        <v>0</v>
      </c>
      <c r="W144" s="364">
        <f t="shared" si="24"/>
        <v>0</v>
      </c>
      <c r="X144" s="364">
        <f t="shared" si="25"/>
        <v>0</v>
      </c>
      <c r="Y144" s="364">
        <f t="shared" si="26"/>
        <v>0</v>
      </c>
      <c r="Z144" s="364">
        <f t="shared" si="27"/>
        <v>0</v>
      </c>
      <c r="AA144" s="364">
        <f t="shared" si="28"/>
        <v>0</v>
      </c>
      <c r="AB144" s="364">
        <f t="shared" si="29"/>
        <v>0</v>
      </c>
      <c r="AC144" s="364">
        <f t="shared" si="30"/>
        <v>0</v>
      </c>
      <c r="AD144" s="364">
        <f t="shared" si="31"/>
        <v>0</v>
      </c>
      <c r="AE144" s="364">
        <f t="shared" si="32"/>
        <v>0</v>
      </c>
      <c r="AF144" s="364">
        <f t="shared" si="33"/>
        <v>0</v>
      </c>
      <c r="AG144" s="364">
        <f t="shared" si="35"/>
        <v>0</v>
      </c>
      <c r="AH144" s="364">
        <f t="shared" si="36"/>
        <v>0</v>
      </c>
      <c r="AI144" s="364">
        <f t="shared" si="37"/>
        <v>0</v>
      </c>
      <c r="AJ144" s="364">
        <f t="shared" si="38"/>
        <v>0</v>
      </c>
      <c r="AK144" s="364">
        <f t="shared" si="39"/>
        <v>0</v>
      </c>
      <c r="AL144" s="364">
        <f t="shared" si="40"/>
        <v>0</v>
      </c>
      <c r="AM144" s="364">
        <f t="shared" si="41"/>
        <v>0</v>
      </c>
      <c r="AN144" s="364">
        <f t="shared" si="42"/>
        <v>0</v>
      </c>
      <c r="AO144" s="364">
        <f t="shared" si="43"/>
        <v>0</v>
      </c>
      <c r="AP144" s="364">
        <f t="shared" si="44"/>
        <v>0</v>
      </c>
      <c r="AQ144" s="364">
        <f t="shared" si="45"/>
        <v>0</v>
      </c>
      <c r="AR144" s="364">
        <f t="shared" si="46"/>
        <v>0</v>
      </c>
      <c r="AS144" s="364">
        <f t="shared" si="47"/>
        <v>0</v>
      </c>
      <c r="AT144" s="364">
        <f t="shared" si="48"/>
        <v>0</v>
      </c>
      <c r="AU144" s="364"/>
      <c r="AV144" s="205"/>
      <c r="AW144" s="205" t="s">
        <v>135</v>
      </c>
      <c r="AX144" s="805"/>
      <c r="AY144" s="805"/>
      <c r="AZ144" s="805"/>
      <c r="BA144" s="805"/>
      <c r="BB144" s="805"/>
      <c r="BC144" s="810">
        <f>PRIJZEN!F16</f>
        <v>7.45</v>
      </c>
      <c r="BD144" s="805"/>
      <c r="BE144" s="65">
        <v>5</v>
      </c>
      <c r="BF144" s="65"/>
      <c r="BG144" s="65"/>
      <c r="BH144" s="65"/>
      <c r="BI144" s="65"/>
      <c r="BJ144" s="67" t="s">
        <v>183</v>
      </c>
      <c r="BK144" s="65"/>
      <c r="BL144" s="65"/>
      <c r="BM144" s="67" t="s">
        <v>183</v>
      </c>
      <c r="BN144" s="65"/>
      <c r="BO144" s="65"/>
      <c r="BP144" s="67" t="s">
        <v>183</v>
      </c>
      <c r="BQ144" s="65"/>
      <c r="BR144" s="65"/>
      <c r="BS144" s="67" t="s">
        <v>183</v>
      </c>
      <c r="BT144" s="65"/>
      <c r="BU144" s="65"/>
      <c r="BV144" s="67" t="s">
        <v>183</v>
      </c>
      <c r="BW144" s="65"/>
      <c r="BX144" s="65"/>
      <c r="BY144" s="67" t="s">
        <v>183</v>
      </c>
      <c r="BZ144" s="65"/>
      <c r="CA144" s="65"/>
      <c r="CB144" s="67" t="s">
        <v>183</v>
      </c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409"/>
      <c r="DH144" s="409"/>
      <c r="DI144" s="409"/>
      <c r="DJ144" s="409"/>
      <c r="DK144" s="409"/>
      <c r="DL144" s="409"/>
      <c r="DM144" s="409"/>
      <c r="DN144" s="409"/>
      <c r="DO144" s="409"/>
      <c r="DP144" s="409"/>
      <c r="DQ144" s="409"/>
      <c r="DR144" s="409"/>
      <c r="DS144" s="409"/>
      <c r="DT144" s="409"/>
      <c r="DU144" s="409"/>
      <c r="DV144" s="409"/>
      <c r="DW144" s="409"/>
      <c r="DX144" s="409"/>
      <c r="DY144" s="409"/>
      <c r="DZ144" s="409"/>
      <c r="EA144" s="409"/>
      <c r="EB144" s="409"/>
      <c r="EC144" s="409"/>
      <c r="ED144" s="409"/>
    </row>
    <row r="145" spans="1:134" ht="18" customHeight="1">
      <c r="A145" s="61"/>
      <c r="B145" s="1053"/>
      <c r="C145" s="1054"/>
      <c r="D145" s="1055"/>
      <c r="E145" s="1059" t="s">
        <v>117</v>
      </c>
      <c r="F145" s="1060"/>
      <c r="G145" s="1060"/>
      <c r="H145" s="1060"/>
      <c r="I145" s="1061"/>
      <c r="J145" s="1059" t="s">
        <v>116</v>
      </c>
      <c r="K145" s="1060"/>
      <c r="L145" s="1060"/>
      <c r="M145" s="1061"/>
      <c r="N145" s="1157" t="str">
        <f t="shared" si="49"/>
        <v/>
      </c>
      <c r="O145" s="1158"/>
      <c r="P145" s="359"/>
      <c r="Q145" s="364">
        <f t="shared" si="19"/>
        <v>0</v>
      </c>
      <c r="R145" s="364">
        <f t="shared" si="20"/>
        <v>0</v>
      </c>
      <c r="S145" s="364">
        <f t="shared" si="21"/>
        <v>0</v>
      </c>
      <c r="T145" s="364">
        <f t="shared" si="22"/>
        <v>0</v>
      </c>
      <c r="U145" s="364">
        <f t="shared" si="23"/>
        <v>0</v>
      </c>
      <c r="V145" s="364">
        <f t="shared" si="34"/>
        <v>0</v>
      </c>
      <c r="W145" s="364">
        <f t="shared" si="24"/>
        <v>0</v>
      </c>
      <c r="X145" s="364">
        <f t="shared" si="25"/>
        <v>0</v>
      </c>
      <c r="Y145" s="364">
        <f t="shared" si="26"/>
        <v>0</v>
      </c>
      <c r="Z145" s="364">
        <f t="shared" si="27"/>
        <v>0</v>
      </c>
      <c r="AA145" s="364">
        <f t="shared" si="28"/>
        <v>0</v>
      </c>
      <c r="AB145" s="364">
        <f t="shared" si="29"/>
        <v>0</v>
      </c>
      <c r="AC145" s="364">
        <f t="shared" si="30"/>
        <v>0</v>
      </c>
      <c r="AD145" s="364">
        <f t="shared" si="31"/>
        <v>0</v>
      </c>
      <c r="AE145" s="364">
        <f t="shared" si="32"/>
        <v>0</v>
      </c>
      <c r="AF145" s="364">
        <f t="shared" si="33"/>
        <v>0</v>
      </c>
      <c r="AG145" s="364">
        <f t="shared" si="35"/>
        <v>0</v>
      </c>
      <c r="AH145" s="364">
        <f t="shared" si="36"/>
        <v>0</v>
      </c>
      <c r="AI145" s="364">
        <f t="shared" si="37"/>
        <v>0</v>
      </c>
      <c r="AJ145" s="364">
        <f t="shared" si="38"/>
        <v>0</v>
      </c>
      <c r="AK145" s="364">
        <f t="shared" si="39"/>
        <v>0</v>
      </c>
      <c r="AL145" s="364">
        <f t="shared" si="40"/>
        <v>0</v>
      </c>
      <c r="AM145" s="364">
        <f t="shared" si="41"/>
        <v>0</v>
      </c>
      <c r="AN145" s="364">
        <f t="shared" si="42"/>
        <v>0</v>
      </c>
      <c r="AO145" s="364">
        <f t="shared" si="43"/>
        <v>0</v>
      </c>
      <c r="AP145" s="364">
        <f t="shared" si="44"/>
        <v>0</v>
      </c>
      <c r="AQ145" s="364">
        <f t="shared" si="45"/>
        <v>0</v>
      </c>
      <c r="AR145" s="364">
        <f t="shared" si="46"/>
        <v>0</v>
      </c>
      <c r="AS145" s="364">
        <f t="shared" si="47"/>
        <v>0</v>
      </c>
      <c r="AT145" s="364">
        <f t="shared" si="48"/>
        <v>0</v>
      </c>
      <c r="AU145" s="364"/>
      <c r="AV145" s="205"/>
      <c r="AW145" s="205" t="s">
        <v>476</v>
      </c>
      <c r="AX145" s="805"/>
      <c r="AY145" s="805"/>
      <c r="AZ145" s="805"/>
      <c r="BA145" s="805"/>
      <c r="BB145" s="805"/>
      <c r="BC145" s="810">
        <f>PRIJZEN!F17</f>
        <v>7.45</v>
      </c>
      <c r="BD145" s="805"/>
      <c r="BE145" s="65">
        <v>6</v>
      </c>
      <c r="BF145" s="65"/>
      <c r="BG145" s="65"/>
      <c r="BH145" s="65"/>
      <c r="BI145" s="65"/>
      <c r="BJ145" s="67" t="s">
        <v>184</v>
      </c>
      <c r="BK145" s="65"/>
      <c r="BL145" s="65"/>
      <c r="BM145" s="67" t="s">
        <v>184</v>
      </c>
      <c r="BN145" s="65"/>
      <c r="BO145" s="65"/>
      <c r="BP145" s="67" t="s">
        <v>184</v>
      </c>
      <c r="BQ145" s="65"/>
      <c r="BR145" s="65"/>
      <c r="BS145" s="67" t="s">
        <v>184</v>
      </c>
      <c r="BT145" s="65"/>
      <c r="BU145" s="65"/>
      <c r="BV145" s="67" t="s">
        <v>184</v>
      </c>
      <c r="BW145" s="65"/>
      <c r="BX145" s="65"/>
      <c r="BY145" s="67" t="s">
        <v>184</v>
      </c>
      <c r="BZ145" s="65"/>
      <c r="CA145" s="65"/>
      <c r="CB145" s="67" t="s">
        <v>184</v>
      </c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409"/>
      <c r="DH145" s="409"/>
      <c r="DI145" s="409"/>
      <c r="DJ145" s="409"/>
      <c r="DK145" s="409"/>
      <c r="DL145" s="409"/>
      <c r="DM145" s="409"/>
      <c r="DN145" s="409"/>
      <c r="DO145" s="409"/>
      <c r="DP145" s="409"/>
      <c r="DQ145" s="409"/>
      <c r="DR145" s="409"/>
      <c r="DS145" s="409"/>
      <c r="DT145" s="409"/>
      <c r="DU145" s="409"/>
      <c r="DV145" s="409"/>
      <c r="DW145" s="409"/>
      <c r="DX145" s="409"/>
      <c r="DY145" s="409"/>
      <c r="DZ145" s="409"/>
      <c r="EA145" s="409"/>
      <c r="EB145" s="409"/>
      <c r="EC145" s="409"/>
      <c r="ED145" s="409"/>
    </row>
    <row r="146" spans="1:134" ht="18" customHeight="1">
      <c r="A146" s="61"/>
      <c r="B146" s="1053"/>
      <c r="C146" s="1054"/>
      <c r="D146" s="1055"/>
      <c r="E146" s="1059" t="s">
        <v>117</v>
      </c>
      <c r="F146" s="1060"/>
      <c r="G146" s="1060"/>
      <c r="H146" s="1060"/>
      <c r="I146" s="1061"/>
      <c r="J146" s="1059" t="s">
        <v>116</v>
      </c>
      <c r="K146" s="1060"/>
      <c r="L146" s="1060"/>
      <c r="M146" s="1061"/>
      <c r="N146" s="1043" t="str">
        <f t="shared" si="49"/>
        <v/>
      </c>
      <c r="O146" s="1044"/>
      <c r="P146" s="359"/>
      <c r="Q146" s="364">
        <f t="shared" si="19"/>
        <v>0</v>
      </c>
      <c r="R146" s="364">
        <f t="shared" si="20"/>
        <v>0</v>
      </c>
      <c r="S146" s="364">
        <f t="shared" si="21"/>
        <v>0</v>
      </c>
      <c r="T146" s="364">
        <f t="shared" si="22"/>
        <v>0</v>
      </c>
      <c r="U146" s="364">
        <f t="shared" si="23"/>
        <v>0</v>
      </c>
      <c r="V146" s="364">
        <f t="shared" si="34"/>
        <v>0</v>
      </c>
      <c r="W146" s="364">
        <f t="shared" si="24"/>
        <v>0</v>
      </c>
      <c r="X146" s="364">
        <f t="shared" si="25"/>
        <v>0</v>
      </c>
      <c r="Y146" s="364">
        <f t="shared" si="26"/>
        <v>0</v>
      </c>
      <c r="Z146" s="364">
        <f t="shared" si="27"/>
        <v>0</v>
      </c>
      <c r="AA146" s="364">
        <f t="shared" si="28"/>
        <v>0</v>
      </c>
      <c r="AB146" s="364">
        <f t="shared" si="29"/>
        <v>0</v>
      </c>
      <c r="AC146" s="364">
        <f t="shared" si="30"/>
        <v>0</v>
      </c>
      <c r="AD146" s="364">
        <f t="shared" si="31"/>
        <v>0</v>
      </c>
      <c r="AE146" s="364">
        <f t="shared" si="32"/>
        <v>0</v>
      </c>
      <c r="AF146" s="364">
        <f t="shared" si="33"/>
        <v>0</v>
      </c>
      <c r="AG146" s="364">
        <f t="shared" si="35"/>
        <v>0</v>
      </c>
      <c r="AH146" s="364">
        <f t="shared" si="36"/>
        <v>0</v>
      </c>
      <c r="AI146" s="364">
        <f t="shared" si="37"/>
        <v>0</v>
      </c>
      <c r="AJ146" s="364">
        <f t="shared" si="38"/>
        <v>0</v>
      </c>
      <c r="AK146" s="364">
        <f t="shared" si="39"/>
        <v>0</v>
      </c>
      <c r="AL146" s="364">
        <f t="shared" si="40"/>
        <v>0</v>
      </c>
      <c r="AM146" s="364">
        <f t="shared" si="41"/>
        <v>0</v>
      </c>
      <c r="AN146" s="364">
        <f t="shared" si="42"/>
        <v>0</v>
      </c>
      <c r="AO146" s="364">
        <f t="shared" si="43"/>
        <v>0</v>
      </c>
      <c r="AP146" s="364">
        <f t="shared" si="44"/>
        <v>0</v>
      </c>
      <c r="AQ146" s="364">
        <f t="shared" si="45"/>
        <v>0</v>
      </c>
      <c r="AR146" s="364">
        <f t="shared" si="46"/>
        <v>0</v>
      </c>
      <c r="AS146" s="364">
        <f t="shared" si="47"/>
        <v>0</v>
      </c>
      <c r="AT146" s="364">
        <f t="shared" si="48"/>
        <v>0</v>
      </c>
      <c r="AU146" s="364"/>
      <c r="AV146" s="205"/>
      <c r="AW146" s="205" t="s">
        <v>136</v>
      </c>
      <c r="AX146" s="805"/>
      <c r="AY146" s="805"/>
      <c r="AZ146" s="805"/>
      <c r="BA146" s="805"/>
      <c r="BB146" s="805"/>
      <c r="BC146" s="810">
        <f>PRIJZEN!F18</f>
        <v>7.45</v>
      </c>
      <c r="BD146" s="805"/>
      <c r="BE146" s="65">
        <v>7</v>
      </c>
      <c r="BF146" s="65"/>
      <c r="BG146" s="65"/>
      <c r="BH146" s="65"/>
      <c r="BI146" s="65"/>
      <c r="BJ146" s="67" t="s">
        <v>486</v>
      </c>
      <c r="BK146" s="65"/>
      <c r="BL146" s="65"/>
      <c r="BM146" s="67" t="s">
        <v>486</v>
      </c>
      <c r="BN146" s="65"/>
      <c r="BO146" s="65"/>
      <c r="BP146" s="67" t="s">
        <v>486</v>
      </c>
      <c r="BQ146" s="65"/>
      <c r="BR146" s="65"/>
      <c r="BS146" s="67" t="s">
        <v>486</v>
      </c>
      <c r="BT146" s="65"/>
      <c r="BU146" s="65"/>
      <c r="BV146" s="67" t="s">
        <v>486</v>
      </c>
      <c r="BW146" s="65"/>
      <c r="BX146" s="65"/>
      <c r="BY146" s="67" t="s">
        <v>486</v>
      </c>
      <c r="BZ146" s="65"/>
      <c r="CA146" s="65"/>
      <c r="CB146" s="67" t="s">
        <v>486</v>
      </c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409"/>
      <c r="DH146" s="409"/>
      <c r="DI146" s="409"/>
      <c r="DJ146" s="409"/>
      <c r="DK146" s="409"/>
      <c r="DL146" s="409"/>
      <c r="DM146" s="409"/>
      <c r="DN146" s="409"/>
      <c r="DO146" s="409"/>
      <c r="DP146" s="409"/>
      <c r="DQ146" s="409"/>
      <c r="DR146" s="409"/>
      <c r="DS146" s="409"/>
      <c r="DT146" s="409"/>
      <c r="DU146" s="409"/>
      <c r="DV146" s="409"/>
      <c r="DW146" s="409"/>
      <c r="DX146" s="409"/>
      <c r="DY146" s="409"/>
      <c r="DZ146" s="409"/>
      <c r="EA146" s="409"/>
      <c r="EB146" s="409"/>
      <c r="EC146" s="409"/>
      <c r="ED146" s="409"/>
    </row>
    <row r="147" spans="1:134" ht="18" customHeight="1">
      <c r="A147" s="61"/>
      <c r="B147" s="708"/>
      <c r="C147" s="709"/>
      <c r="D147" s="710"/>
      <c r="E147" s="1059" t="s">
        <v>117</v>
      </c>
      <c r="F147" s="1060"/>
      <c r="G147" s="1060"/>
      <c r="H147" s="1060"/>
      <c r="I147" s="1061"/>
      <c r="J147" s="1059" t="s">
        <v>116</v>
      </c>
      <c r="K147" s="1060"/>
      <c r="L147" s="1060"/>
      <c r="M147" s="1061"/>
      <c r="N147" s="1043" t="str">
        <f t="shared" si="49"/>
        <v/>
      </c>
      <c r="O147" s="1044"/>
      <c r="P147" s="359"/>
      <c r="Q147" s="364">
        <f t="shared" si="19"/>
        <v>0</v>
      </c>
      <c r="R147" s="364">
        <f t="shared" si="20"/>
        <v>0</v>
      </c>
      <c r="S147" s="364">
        <f t="shared" si="21"/>
        <v>0</v>
      </c>
      <c r="T147" s="364">
        <f t="shared" si="22"/>
        <v>0</v>
      </c>
      <c r="U147" s="364">
        <f t="shared" si="23"/>
        <v>0</v>
      </c>
      <c r="V147" s="364">
        <f t="shared" si="34"/>
        <v>0</v>
      </c>
      <c r="W147" s="364">
        <f t="shared" si="24"/>
        <v>0</v>
      </c>
      <c r="X147" s="364">
        <f t="shared" si="25"/>
        <v>0</v>
      </c>
      <c r="Y147" s="364">
        <f t="shared" si="26"/>
        <v>0</v>
      </c>
      <c r="Z147" s="364">
        <f t="shared" si="27"/>
        <v>0</v>
      </c>
      <c r="AA147" s="364">
        <f t="shared" si="28"/>
        <v>0</v>
      </c>
      <c r="AB147" s="364">
        <f t="shared" si="29"/>
        <v>0</v>
      </c>
      <c r="AC147" s="364">
        <f t="shared" si="30"/>
        <v>0</v>
      </c>
      <c r="AD147" s="364">
        <f t="shared" si="31"/>
        <v>0</v>
      </c>
      <c r="AE147" s="364">
        <f t="shared" si="32"/>
        <v>0</v>
      </c>
      <c r="AF147" s="364">
        <f t="shared" si="33"/>
        <v>0</v>
      </c>
      <c r="AG147" s="364">
        <f t="shared" si="35"/>
        <v>0</v>
      </c>
      <c r="AH147" s="364">
        <f t="shared" si="36"/>
        <v>0</v>
      </c>
      <c r="AI147" s="364">
        <f t="shared" si="37"/>
        <v>0</v>
      </c>
      <c r="AJ147" s="364">
        <f t="shared" si="38"/>
        <v>0</v>
      </c>
      <c r="AK147" s="364">
        <f t="shared" si="39"/>
        <v>0</v>
      </c>
      <c r="AL147" s="364">
        <f t="shared" si="40"/>
        <v>0</v>
      </c>
      <c r="AM147" s="364">
        <f t="shared" si="41"/>
        <v>0</v>
      </c>
      <c r="AN147" s="364">
        <f t="shared" si="42"/>
        <v>0</v>
      </c>
      <c r="AO147" s="364">
        <f t="shared" si="43"/>
        <v>0</v>
      </c>
      <c r="AP147" s="364">
        <f t="shared" si="44"/>
        <v>0</v>
      </c>
      <c r="AQ147" s="364">
        <f t="shared" si="45"/>
        <v>0</v>
      </c>
      <c r="AR147" s="364">
        <f t="shared" si="46"/>
        <v>0</v>
      </c>
      <c r="AS147" s="364">
        <f t="shared" si="47"/>
        <v>0</v>
      </c>
      <c r="AT147" s="364">
        <f t="shared" si="48"/>
        <v>0</v>
      </c>
      <c r="AU147" s="364"/>
      <c r="AV147" s="205"/>
      <c r="AW147" s="205" t="s">
        <v>137</v>
      </c>
      <c r="AX147" s="805"/>
      <c r="AY147" s="805"/>
      <c r="AZ147" s="805"/>
      <c r="BA147" s="805"/>
      <c r="BB147" s="805"/>
      <c r="BC147" s="810">
        <f>PRIJZEN!F19</f>
        <v>7.45</v>
      </c>
      <c r="BD147" s="805"/>
      <c r="BE147" s="65">
        <v>8</v>
      </c>
      <c r="BF147" s="65"/>
      <c r="BG147" s="65"/>
      <c r="BH147" s="65"/>
      <c r="BI147" s="65"/>
      <c r="BJ147" s="67" t="s">
        <v>487</v>
      </c>
      <c r="BK147" s="65"/>
      <c r="BL147" s="65"/>
      <c r="BM147" s="67" t="s">
        <v>487</v>
      </c>
      <c r="BN147" s="65"/>
      <c r="BO147" s="65"/>
      <c r="BP147" s="67" t="s">
        <v>487</v>
      </c>
      <c r="BQ147" s="65"/>
      <c r="BR147" s="65"/>
      <c r="BS147" s="67" t="s">
        <v>487</v>
      </c>
      <c r="BT147" s="65"/>
      <c r="BU147" s="65"/>
      <c r="BV147" s="67" t="s">
        <v>487</v>
      </c>
      <c r="BW147" s="65"/>
      <c r="BX147" s="65"/>
      <c r="BY147" s="67" t="s">
        <v>487</v>
      </c>
      <c r="BZ147" s="65"/>
      <c r="CA147" s="65"/>
      <c r="CB147" s="67" t="s">
        <v>487</v>
      </c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409"/>
      <c r="DH147" s="409"/>
      <c r="DI147" s="409"/>
      <c r="DJ147" s="409"/>
      <c r="DK147" s="409"/>
      <c r="DL147" s="409"/>
      <c r="DM147" s="409"/>
      <c r="DN147" s="409"/>
      <c r="DO147" s="409"/>
      <c r="DP147" s="409"/>
      <c r="DQ147" s="409"/>
      <c r="DR147" s="409"/>
      <c r="DS147" s="409"/>
      <c r="DT147" s="409"/>
      <c r="DU147" s="409"/>
      <c r="DV147" s="409"/>
      <c r="DW147" s="409"/>
      <c r="DX147" s="409"/>
      <c r="DY147" s="409"/>
      <c r="DZ147" s="409"/>
      <c r="EA147" s="409"/>
      <c r="EB147" s="409"/>
      <c r="EC147" s="409"/>
      <c r="ED147" s="409"/>
    </row>
    <row r="148" spans="1:134" ht="18" customHeight="1">
      <c r="A148" s="61"/>
      <c r="B148" s="708"/>
      <c r="C148" s="709"/>
      <c r="D148" s="710"/>
      <c r="E148" s="1059" t="s">
        <v>117</v>
      </c>
      <c r="F148" s="1060"/>
      <c r="G148" s="1060"/>
      <c r="H148" s="1060"/>
      <c r="I148" s="1061"/>
      <c r="J148" s="1059" t="s">
        <v>116</v>
      </c>
      <c r="K148" s="1060"/>
      <c r="L148" s="1060"/>
      <c r="M148" s="1061"/>
      <c r="N148" s="1062" t="str">
        <f t="shared" si="49"/>
        <v/>
      </c>
      <c r="O148" s="1063"/>
      <c r="P148" s="359"/>
      <c r="Q148" s="364">
        <f t="shared" si="19"/>
        <v>0</v>
      </c>
      <c r="R148" s="364">
        <f t="shared" si="20"/>
        <v>0</v>
      </c>
      <c r="S148" s="364">
        <f t="shared" si="21"/>
        <v>0</v>
      </c>
      <c r="T148" s="364">
        <f t="shared" si="22"/>
        <v>0</v>
      </c>
      <c r="U148" s="364">
        <f t="shared" si="23"/>
        <v>0</v>
      </c>
      <c r="V148" s="364">
        <f t="shared" si="34"/>
        <v>0</v>
      </c>
      <c r="W148" s="364">
        <f t="shared" si="24"/>
        <v>0</v>
      </c>
      <c r="X148" s="364">
        <f t="shared" si="25"/>
        <v>0</v>
      </c>
      <c r="Y148" s="364">
        <f t="shared" si="26"/>
        <v>0</v>
      </c>
      <c r="Z148" s="364">
        <f t="shared" si="27"/>
        <v>0</v>
      </c>
      <c r="AA148" s="364">
        <f t="shared" si="28"/>
        <v>0</v>
      </c>
      <c r="AB148" s="364">
        <f t="shared" si="29"/>
        <v>0</v>
      </c>
      <c r="AC148" s="364">
        <f t="shared" si="30"/>
        <v>0</v>
      </c>
      <c r="AD148" s="364">
        <f t="shared" si="31"/>
        <v>0</v>
      </c>
      <c r="AE148" s="364">
        <f t="shared" si="32"/>
        <v>0</v>
      </c>
      <c r="AF148" s="364">
        <f t="shared" si="33"/>
        <v>0</v>
      </c>
      <c r="AG148" s="364">
        <f t="shared" si="35"/>
        <v>0</v>
      </c>
      <c r="AH148" s="364">
        <f t="shared" si="36"/>
        <v>0</v>
      </c>
      <c r="AI148" s="364">
        <f t="shared" si="37"/>
        <v>0</v>
      </c>
      <c r="AJ148" s="364">
        <f t="shared" si="38"/>
        <v>0</v>
      </c>
      <c r="AK148" s="364">
        <f t="shared" si="39"/>
        <v>0</v>
      </c>
      <c r="AL148" s="364">
        <f t="shared" si="40"/>
        <v>0</v>
      </c>
      <c r="AM148" s="364">
        <f t="shared" si="41"/>
        <v>0</v>
      </c>
      <c r="AN148" s="364">
        <f t="shared" si="42"/>
        <v>0</v>
      </c>
      <c r="AO148" s="364">
        <f t="shared" si="43"/>
        <v>0</v>
      </c>
      <c r="AP148" s="364">
        <f t="shared" si="44"/>
        <v>0</v>
      </c>
      <c r="AQ148" s="364">
        <f t="shared" si="45"/>
        <v>0</v>
      </c>
      <c r="AR148" s="364">
        <f t="shared" si="46"/>
        <v>0</v>
      </c>
      <c r="AS148" s="364">
        <f t="shared" si="47"/>
        <v>0</v>
      </c>
      <c r="AT148" s="364">
        <f t="shared" si="48"/>
        <v>0</v>
      </c>
      <c r="AU148" s="364"/>
      <c r="AV148" s="205"/>
      <c r="AW148" s="205" t="s">
        <v>138</v>
      </c>
      <c r="AX148" s="805"/>
      <c r="AY148" s="805"/>
      <c r="AZ148" s="805"/>
      <c r="BA148" s="805"/>
      <c r="BB148" s="805"/>
      <c r="BC148" s="810">
        <f>PRIJZEN!F20</f>
        <v>7.45</v>
      </c>
      <c r="BD148" s="805"/>
      <c r="BE148" s="65">
        <v>9</v>
      </c>
      <c r="BF148" s="65"/>
      <c r="BG148" s="65"/>
      <c r="BH148" s="65"/>
      <c r="BI148" s="65"/>
      <c r="BJ148" s="67" t="s">
        <v>488</v>
      </c>
      <c r="BK148" s="65"/>
      <c r="BL148" s="65"/>
      <c r="BM148" s="67" t="s">
        <v>488</v>
      </c>
      <c r="BN148" s="65"/>
      <c r="BO148" s="65"/>
      <c r="BP148" s="67" t="s">
        <v>488</v>
      </c>
      <c r="BQ148" s="65"/>
      <c r="BR148" s="65"/>
      <c r="BS148" s="67" t="s">
        <v>488</v>
      </c>
      <c r="BT148" s="65"/>
      <c r="BU148" s="65"/>
      <c r="BV148" s="67" t="s">
        <v>488</v>
      </c>
      <c r="BW148" s="65"/>
      <c r="BX148" s="65"/>
      <c r="BY148" s="67" t="s">
        <v>488</v>
      </c>
      <c r="BZ148" s="65"/>
      <c r="CA148" s="65"/>
      <c r="CB148" s="67" t="s">
        <v>488</v>
      </c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409"/>
      <c r="DH148" s="409"/>
      <c r="DI148" s="409"/>
      <c r="DJ148" s="409"/>
      <c r="DK148" s="409"/>
      <c r="DL148" s="409"/>
      <c r="DM148" s="409"/>
      <c r="DN148" s="409"/>
      <c r="DO148" s="409"/>
      <c r="DP148" s="409"/>
      <c r="DQ148" s="409"/>
      <c r="DR148" s="409"/>
      <c r="DS148" s="409"/>
      <c r="DT148" s="409"/>
      <c r="DU148" s="409"/>
      <c r="DV148" s="409"/>
      <c r="DW148" s="409"/>
      <c r="DX148" s="409"/>
      <c r="DY148" s="409"/>
      <c r="DZ148" s="409"/>
      <c r="EA148" s="409"/>
      <c r="EB148" s="409"/>
      <c r="EC148" s="409"/>
      <c r="ED148" s="409"/>
    </row>
    <row r="149" spans="1:134" ht="18" customHeight="1">
      <c r="A149" s="61"/>
      <c r="B149" s="708"/>
      <c r="C149" s="709"/>
      <c r="D149" s="710"/>
      <c r="E149" s="1059" t="s">
        <v>117</v>
      </c>
      <c r="F149" s="1060"/>
      <c r="G149" s="1060"/>
      <c r="H149" s="1060"/>
      <c r="I149" s="1061"/>
      <c r="J149" s="1167" t="s">
        <v>116</v>
      </c>
      <c r="K149" s="1168"/>
      <c r="L149" s="1168"/>
      <c r="M149" s="1169"/>
      <c r="N149" s="1062" t="str">
        <f t="shared" si="49"/>
        <v/>
      </c>
      <c r="O149" s="1063"/>
      <c r="P149" s="359"/>
      <c r="Q149" s="364">
        <f t="shared" si="19"/>
        <v>0</v>
      </c>
      <c r="R149" s="364">
        <f t="shared" si="20"/>
        <v>0</v>
      </c>
      <c r="S149" s="364">
        <f t="shared" si="21"/>
        <v>0</v>
      </c>
      <c r="T149" s="364">
        <f t="shared" si="22"/>
        <v>0</v>
      </c>
      <c r="U149" s="364">
        <f t="shared" si="23"/>
        <v>0</v>
      </c>
      <c r="V149" s="364">
        <f t="shared" si="34"/>
        <v>0</v>
      </c>
      <c r="W149" s="364">
        <f t="shared" si="24"/>
        <v>0</v>
      </c>
      <c r="X149" s="364">
        <f t="shared" si="25"/>
        <v>0</v>
      </c>
      <c r="Y149" s="364">
        <f t="shared" si="26"/>
        <v>0</v>
      </c>
      <c r="Z149" s="364">
        <f t="shared" si="27"/>
        <v>0</v>
      </c>
      <c r="AA149" s="364">
        <f t="shared" si="28"/>
        <v>0</v>
      </c>
      <c r="AB149" s="364">
        <f t="shared" si="29"/>
        <v>0</v>
      </c>
      <c r="AC149" s="364">
        <f t="shared" si="30"/>
        <v>0</v>
      </c>
      <c r="AD149" s="364">
        <f t="shared" si="31"/>
        <v>0</v>
      </c>
      <c r="AE149" s="364">
        <f t="shared" si="32"/>
        <v>0</v>
      </c>
      <c r="AF149" s="364">
        <f t="shared" si="33"/>
        <v>0</v>
      </c>
      <c r="AG149" s="364">
        <f t="shared" si="35"/>
        <v>0</v>
      </c>
      <c r="AH149" s="364">
        <f t="shared" si="36"/>
        <v>0</v>
      </c>
      <c r="AI149" s="364">
        <f t="shared" si="37"/>
        <v>0</v>
      </c>
      <c r="AJ149" s="364">
        <f t="shared" si="38"/>
        <v>0</v>
      </c>
      <c r="AK149" s="364">
        <f t="shared" si="39"/>
        <v>0</v>
      </c>
      <c r="AL149" s="364">
        <f t="shared" si="40"/>
        <v>0</v>
      </c>
      <c r="AM149" s="364">
        <f t="shared" si="41"/>
        <v>0</v>
      </c>
      <c r="AN149" s="364">
        <f t="shared" si="42"/>
        <v>0</v>
      </c>
      <c r="AO149" s="364">
        <f t="shared" si="43"/>
        <v>0</v>
      </c>
      <c r="AP149" s="364">
        <f t="shared" si="44"/>
        <v>0</v>
      </c>
      <c r="AQ149" s="364">
        <f t="shared" si="45"/>
        <v>0</v>
      </c>
      <c r="AR149" s="364">
        <f t="shared" si="46"/>
        <v>0</v>
      </c>
      <c r="AS149" s="364">
        <f t="shared" si="47"/>
        <v>0</v>
      </c>
      <c r="AT149" s="364">
        <f t="shared" si="48"/>
        <v>0</v>
      </c>
      <c r="AU149" s="364"/>
      <c r="AV149" s="205"/>
      <c r="AW149" s="205" t="s">
        <v>139</v>
      </c>
      <c r="AX149" s="805"/>
      <c r="AY149" s="805"/>
      <c r="AZ149" s="805"/>
      <c r="BA149" s="805"/>
      <c r="BB149" s="805"/>
      <c r="BC149" s="810">
        <f>PRIJZEN!F21</f>
        <v>7.45</v>
      </c>
      <c r="BD149" s="805"/>
      <c r="BE149" s="65">
        <v>10</v>
      </c>
      <c r="BF149" s="65"/>
      <c r="BG149" s="65"/>
      <c r="BH149" s="65"/>
      <c r="BI149" s="65"/>
      <c r="BJ149" s="67" t="s">
        <v>185</v>
      </c>
      <c r="BK149" s="65"/>
      <c r="BL149" s="65"/>
      <c r="BM149" s="67" t="s">
        <v>185</v>
      </c>
      <c r="BN149" s="65"/>
      <c r="BO149" s="65"/>
      <c r="BP149" s="67" t="s">
        <v>185</v>
      </c>
      <c r="BQ149" s="65"/>
      <c r="BR149" s="65"/>
      <c r="BS149" s="67" t="s">
        <v>185</v>
      </c>
      <c r="BT149" s="65"/>
      <c r="BU149" s="65"/>
      <c r="BV149" s="67" t="s">
        <v>185</v>
      </c>
      <c r="BW149" s="65"/>
      <c r="BX149" s="65"/>
      <c r="BY149" s="67" t="s">
        <v>185</v>
      </c>
      <c r="BZ149" s="65"/>
      <c r="CA149" s="65"/>
      <c r="CB149" s="67" t="s">
        <v>185</v>
      </c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409"/>
      <c r="DH149" s="409"/>
      <c r="DI149" s="409"/>
      <c r="DJ149" s="409"/>
      <c r="DK149" s="409"/>
      <c r="DL149" s="409"/>
      <c r="DM149" s="409"/>
      <c r="DN149" s="409"/>
      <c r="DO149" s="409"/>
      <c r="DP149" s="409"/>
      <c r="DQ149" s="409"/>
      <c r="DR149" s="409"/>
      <c r="DS149" s="409"/>
      <c r="DT149" s="409"/>
      <c r="DU149" s="409"/>
      <c r="DV149" s="409"/>
      <c r="DW149" s="409"/>
      <c r="DX149" s="409"/>
      <c r="DY149" s="409"/>
      <c r="DZ149" s="409"/>
      <c r="EA149" s="409"/>
      <c r="EB149" s="409"/>
      <c r="EC149" s="409"/>
      <c r="ED149" s="409"/>
    </row>
    <row r="150" spans="1:134" ht="21.9" customHeight="1">
      <c r="A150" s="61"/>
      <c r="B150" s="714" t="s">
        <v>128</v>
      </c>
      <c r="C150" s="1104" t="s">
        <v>199</v>
      </c>
      <c r="D150" s="1105"/>
      <c r="E150" s="1105"/>
      <c r="F150" s="1105"/>
      <c r="G150" s="1105"/>
      <c r="H150" s="1105"/>
      <c r="I150" s="1105"/>
      <c r="J150" s="1105"/>
      <c r="K150" s="1105"/>
      <c r="L150" s="1105"/>
      <c r="M150" s="1105"/>
      <c r="N150" s="1105"/>
      <c r="O150" s="1106"/>
      <c r="P150" s="187"/>
      <c r="Q150" s="205"/>
      <c r="R150" s="205"/>
      <c r="S150" s="205"/>
      <c r="T150" s="205"/>
      <c r="U150" s="205"/>
      <c r="V150" s="205"/>
      <c r="W150" s="213"/>
      <c r="X150" s="205"/>
      <c r="Y150" s="205"/>
      <c r="Z150" s="205"/>
      <c r="AA150" s="214"/>
      <c r="AB150" s="205"/>
      <c r="AC150" s="205"/>
      <c r="AD150" s="214"/>
      <c r="AE150" s="797"/>
      <c r="AF150" s="797"/>
      <c r="AG150" s="214"/>
      <c r="AH150" s="205"/>
      <c r="AI150" s="205"/>
      <c r="AJ150" s="214"/>
      <c r="AK150" s="205"/>
      <c r="AL150" s="205"/>
      <c r="AM150" s="214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 t="s">
        <v>140</v>
      </c>
      <c r="AX150" s="805"/>
      <c r="AY150" s="805"/>
      <c r="AZ150" s="805"/>
      <c r="BA150" s="805"/>
      <c r="BB150" s="805"/>
      <c r="BC150" s="810">
        <f>PRIJZEN!F22</f>
        <v>8.4499999999999993</v>
      </c>
      <c r="BD150" s="805"/>
      <c r="BE150" s="65"/>
      <c r="BF150" s="65"/>
      <c r="BG150" s="65"/>
      <c r="BH150" s="65"/>
      <c r="BI150" s="65"/>
      <c r="BJ150" s="67" t="s">
        <v>186</v>
      </c>
      <c r="BK150" s="65"/>
      <c r="BL150" s="65"/>
      <c r="BM150" s="67" t="s">
        <v>186</v>
      </c>
      <c r="BN150" s="65"/>
      <c r="BO150" s="65"/>
      <c r="BP150" s="67" t="s">
        <v>186</v>
      </c>
      <c r="BQ150" s="65"/>
      <c r="BR150" s="65"/>
      <c r="BS150" s="67" t="s">
        <v>186</v>
      </c>
      <c r="BT150" s="65"/>
      <c r="BU150" s="65"/>
      <c r="BV150" s="67" t="s">
        <v>186</v>
      </c>
      <c r="BW150" s="65"/>
      <c r="BX150" s="65"/>
      <c r="BY150" s="67" t="s">
        <v>186</v>
      </c>
      <c r="BZ150" s="65"/>
      <c r="CA150" s="65"/>
      <c r="CB150" s="67" t="s">
        <v>186</v>
      </c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409"/>
      <c r="DH150" s="409"/>
      <c r="DI150" s="409"/>
      <c r="DJ150" s="409"/>
      <c r="DK150" s="409"/>
      <c r="DL150" s="409"/>
      <c r="DM150" s="409"/>
      <c r="DN150" s="409"/>
      <c r="DO150" s="409"/>
      <c r="DP150" s="409"/>
      <c r="DQ150" s="409"/>
      <c r="DR150" s="409"/>
      <c r="DS150" s="409"/>
      <c r="DT150" s="409"/>
      <c r="DU150" s="409"/>
      <c r="DV150" s="409"/>
      <c r="DW150" s="409"/>
      <c r="DX150" s="409"/>
      <c r="DY150" s="409"/>
      <c r="DZ150" s="409"/>
      <c r="EA150" s="409"/>
      <c r="EB150" s="409"/>
      <c r="EC150" s="409"/>
      <c r="ED150" s="409"/>
    </row>
    <row r="151" spans="1:134" ht="18" customHeight="1" thickBot="1">
      <c r="A151" s="61"/>
      <c r="B151" s="726"/>
      <c r="C151" s="709"/>
      <c r="D151" s="710"/>
      <c r="E151" s="1285" t="s">
        <v>120</v>
      </c>
      <c r="F151" s="1286"/>
      <c r="G151" s="1286"/>
      <c r="H151" s="1141"/>
      <c r="I151" s="1287" t="str">
        <f>IF(OR($E$151="Klik &amp; Kies aantal schotels ---&gt;",$E$151=""),"","Kies 7 TAPAS")</f>
        <v/>
      </c>
      <c r="J151" s="1288"/>
      <c r="K151" s="1288"/>
      <c r="L151" s="1288"/>
      <c r="M151" s="1289"/>
      <c r="N151" s="1295" t="str">
        <f>IF(OR($E$151="klik &amp; kies AANTAL schotelS ---&gt;",$E$151=""),"",E151*PRIJZEN!$F$43)</f>
        <v/>
      </c>
      <c r="O151" s="1296"/>
      <c r="P151" s="423"/>
      <c r="Q151" s="215"/>
      <c r="R151" s="215"/>
      <c r="S151" s="216"/>
      <c r="T151" s="216"/>
      <c r="U151" s="216"/>
      <c r="V151" s="217"/>
      <c r="W151" s="205"/>
      <c r="X151" s="205"/>
      <c r="Y151" s="205"/>
      <c r="Z151" s="205"/>
      <c r="AA151" s="214"/>
      <c r="AB151" s="205"/>
      <c r="AC151" s="205"/>
      <c r="AD151" s="214"/>
      <c r="AE151" s="797"/>
      <c r="AF151" s="797"/>
      <c r="AG151" s="214"/>
      <c r="AH151" s="205"/>
      <c r="AI151" s="205"/>
      <c r="AJ151" s="214"/>
      <c r="AK151" s="205"/>
      <c r="AL151" s="205"/>
      <c r="AM151" s="214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 t="s">
        <v>141</v>
      </c>
      <c r="AX151" s="805"/>
      <c r="AY151" s="805"/>
      <c r="AZ151" s="805"/>
      <c r="BA151" s="805"/>
      <c r="BB151" s="805"/>
      <c r="BC151" s="810">
        <f>PRIJZEN!F23</f>
        <v>8.4499999999999993</v>
      </c>
      <c r="BD151" s="805"/>
      <c r="BE151" s="65" t="s">
        <v>120</v>
      </c>
      <c r="BF151" s="65"/>
      <c r="BG151" s="65"/>
      <c r="BH151" s="65"/>
      <c r="BI151" s="65"/>
      <c r="BJ151" s="67" t="s">
        <v>56</v>
      </c>
      <c r="BK151" s="65"/>
      <c r="BL151" s="65"/>
      <c r="BM151" s="67" t="s">
        <v>56</v>
      </c>
      <c r="BN151" s="65"/>
      <c r="BO151" s="65"/>
      <c r="BP151" s="67" t="s">
        <v>56</v>
      </c>
      <c r="BQ151" s="65"/>
      <c r="BR151" s="65"/>
      <c r="BS151" s="67" t="s">
        <v>56</v>
      </c>
      <c r="BT151" s="65"/>
      <c r="BU151" s="65"/>
      <c r="BV151" s="67" t="s">
        <v>56</v>
      </c>
      <c r="BW151" s="65"/>
      <c r="BX151" s="65"/>
      <c r="BY151" s="67" t="s">
        <v>56</v>
      </c>
      <c r="BZ151" s="65"/>
      <c r="CA151" s="65"/>
      <c r="CB151" s="67" t="s">
        <v>56</v>
      </c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409"/>
      <c r="DH151" s="409"/>
      <c r="DI151" s="409"/>
      <c r="DJ151" s="409"/>
      <c r="DK151" s="409"/>
      <c r="DL151" s="409"/>
      <c r="DM151" s="409"/>
      <c r="DN151" s="409"/>
      <c r="DO151" s="409"/>
      <c r="DP151" s="409"/>
      <c r="DQ151" s="409"/>
      <c r="DR151" s="409"/>
      <c r="DS151" s="409"/>
      <c r="DT151" s="409"/>
      <c r="DU151" s="409"/>
      <c r="DV151" s="409"/>
      <c r="DW151" s="409"/>
      <c r="DX151" s="409"/>
      <c r="DY151" s="409"/>
      <c r="DZ151" s="409"/>
      <c r="EA151" s="409"/>
      <c r="EB151" s="409"/>
      <c r="EC151" s="409"/>
      <c r="ED151" s="409"/>
    </row>
    <row r="152" spans="1:134" ht="18" customHeight="1">
      <c r="A152" s="61"/>
      <c r="B152" s="1053"/>
      <c r="C152" s="1054"/>
      <c r="D152" s="1055"/>
      <c r="E152" s="712"/>
      <c r="F152" s="712"/>
      <c r="G152" s="712"/>
      <c r="H152" s="362" t="e">
        <f>IF(I152="portie olijven met paprika",$E$151*1,$E$151*6)</f>
        <v>#VALUE!</v>
      </c>
      <c r="I152" s="1290" t="str">
        <f>IF($I$151="","","Klik &amp; Kies Tapa 1 ---&gt;")</f>
        <v/>
      </c>
      <c r="J152" s="1290"/>
      <c r="K152" s="1290"/>
      <c r="L152" s="1290"/>
      <c r="M152" s="1291"/>
      <c r="N152" s="1067"/>
      <c r="O152" s="1068"/>
      <c r="P152" s="359"/>
      <c r="Q152" s="216"/>
      <c r="R152" s="216"/>
      <c r="S152" s="216"/>
      <c r="T152" s="216"/>
      <c r="U152" s="216"/>
      <c r="V152" s="217"/>
      <c r="W152" s="213"/>
      <c r="X152" s="205"/>
      <c r="Y152" s="205"/>
      <c r="Z152" s="205"/>
      <c r="AA152" s="214"/>
      <c r="AB152" s="205"/>
      <c r="AC152" s="205"/>
      <c r="AD152" s="214"/>
      <c r="AE152" s="797"/>
      <c r="AF152" s="797"/>
      <c r="AG152" s="214"/>
      <c r="AH152" s="205"/>
      <c r="AI152" s="205"/>
      <c r="AJ152" s="214"/>
      <c r="AK152" s="205"/>
      <c r="AL152" s="205"/>
      <c r="AM152" s="214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 t="s">
        <v>142</v>
      </c>
      <c r="AX152" s="805"/>
      <c r="AY152" s="805"/>
      <c r="AZ152" s="805"/>
      <c r="BA152" s="805"/>
      <c r="BB152" s="805"/>
      <c r="BC152" s="810">
        <f>PRIJZEN!F24</f>
        <v>8.4499999999999993</v>
      </c>
      <c r="BD152" s="805"/>
      <c r="BE152" s="65">
        <v>3</v>
      </c>
      <c r="BF152" s="65"/>
      <c r="BG152" s="65"/>
      <c r="BH152" s="65"/>
      <c r="BI152" s="65"/>
      <c r="BJ152" s="67" t="s">
        <v>187</v>
      </c>
      <c r="BK152" s="65"/>
      <c r="BL152" s="65"/>
      <c r="BM152" s="67" t="s">
        <v>187</v>
      </c>
      <c r="BN152" s="65"/>
      <c r="BO152" s="65"/>
      <c r="BP152" s="67" t="s">
        <v>187</v>
      </c>
      <c r="BQ152" s="65"/>
      <c r="BR152" s="65"/>
      <c r="BS152" s="67" t="s">
        <v>187</v>
      </c>
      <c r="BT152" s="65"/>
      <c r="BU152" s="65"/>
      <c r="BV152" s="67" t="s">
        <v>187</v>
      </c>
      <c r="BW152" s="65"/>
      <c r="BX152" s="65"/>
      <c r="BY152" s="67" t="s">
        <v>187</v>
      </c>
      <c r="BZ152" s="65"/>
      <c r="CA152" s="65"/>
      <c r="CB152" s="67" t="s">
        <v>187</v>
      </c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409"/>
      <c r="DH152" s="409"/>
      <c r="DI152" s="409"/>
      <c r="DJ152" s="409"/>
      <c r="DK152" s="409"/>
      <c r="DL152" s="409"/>
      <c r="DM152" s="409"/>
      <c r="DN152" s="409"/>
      <c r="DO152" s="409"/>
      <c r="DP152" s="409"/>
      <c r="DQ152" s="409"/>
      <c r="DR152" s="409"/>
      <c r="DS152" s="409"/>
      <c r="DT152" s="409"/>
      <c r="DU152" s="409"/>
      <c r="DV152" s="409"/>
      <c r="DW152" s="409"/>
      <c r="DX152" s="409"/>
      <c r="DY152" s="409"/>
      <c r="DZ152" s="409"/>
      <c r="EA152" s="409"/>
      <c r="EB152" s="409"/>
      <c r="EC152" s="409"/>
      <c r="ED152" s="409"/>
    </row>
    <row r="153" spans="1:134" ht="18" customHeight="1">
      <c r="A153" s="61"/>
      <c r="B153" s="1053" t="s">
        <v>118</v>
      </c>
      <c r="C153" s="1054"/>
      <c r="D153" s="1055"/>
      <c r="E153" s="1334" t="str">
        <f>IF(OR($E$151="Klik &amp; Kies aantal schotels ---&gt;",$E$151="",$E$151&lt;6),"","Rechts kunt u voor het ingevoerde")</f>
        <v/>
      </c>
      <c r="F153" s="1335"/>
      <c r="G153" s="1336"/>
      <c r="H153" s="363" t="e">
        <f t="shared" ref="H153:H158" si="50">IF(I153="portie olijven met paprika",$E$151*1,$E$151*6)</f>
        <v>#VALUE!</v>
      </c>
      <c r="I153" s="1290" t="str">
        <f>IF($I$151="","","Klik &amp; Kies Tapa 2 ---&gt;")</f>
        <v/>
      </c>
      <c r="J153" s="1290"/>
      <c r="K153" s="1290"/>
      <c r="L153" s="1290"/>
      <c r="M153" s="1291"/>
      <c r="N153" s="1067"/>
      <c r="O153" s="1068"/>
      <c r="P153" s="359"/>
      <c r="Q153" s="216"/>
      <c r="R153" s="216"/>
      <c r="S153" s="216"/>
      <c r="T153" s="216"/>
      <c r="U153" s="216"/>
      <c r="V153" s="217"/>
      <c r="W153" s="205"/>
      <c r="X153" s="205"/>
      <c r="Y153" s="205"/>
      <c r="Z153" s="205"/>
      <c r="AA153" s="205"/>
      <c r="AB153" s="205"/>
      <c r="AC153" s="205"/>
      <c r="AD153" s="205"/>
      <c r="AE153" s="797"/>
      <c r="AF153" s="797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 t="s">
        <v>143</v>
      </c>
      <c r="AX153" s="805"/>
      <c r="AY153" s="805"/>
      <c r="AZ153" s="805"/>
      <c r="BA153" s="805"/>
      <c r="BB153" s="805"/>
      <c r="BC153" s="810">
        <f>PRIJZEN!F25</f>
        <v>8.4499999999999993</v>
      </c>
      <c r="BD153" s="805"/>
      <c r="BE153" s="65">
        <v>4</v>
      </c>
      <c r="BF153" s="65"/>
      <c r="BG153" s="65"/>
      <c r="BH153" s="65"/>
      <c r="BI153" s="65"/>
      <c r="BJ153" s="67" t="s">
        <v>489</v>
      </c>
      <c r="BK153" s="65"/>
      <c r="BL153" s="65"/>
      <c r="BM153" s="67" t="s">
        <v>489</v>
      </c>
      <c r="BN153" s="65"/>
      <c r="BO153" s="65"/>
      <c r="BP153" s="67" t="s">
        <v>489</v>
      </c>
      <c r="BQ153" s="65"/>
      <c r="BR153" s="65"/>
      <c r="BS153" s="67" t="s">
        <v>489</v>
      </c>
      <c r="BT153" s="65"/>
      <c r="BU153" s="65"/>
      <c r="BV153" s="67" t="s">
        <v>489</v>
      </c>
      <c r="BW153" s="65"/>
      <c r="BX153" s="65"/>
      <c r="BY153" s="67" t="s">
        <v>489</v>
      </c>
      <c r="BZ153" s="65"/>
      <c r="CA153" s="65"/>
      <c r="CB153" s="67" t="s">
        <v>489</v>
      </c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409"/>
      <c r="DH153" s="409"/>
      <c r="DI153" s="409"/>
      <c r="DJ153" s="409"/>
      <c r="DK153" s="409"/>
      <c r="DL153" s="409"/>
      <c r="DM153" s="409"/>
      <c r="DN153" s="409"/>
      <c r="DO153" s="409"/>
      <c r="DP153" s="409"/>
      <c r="DQ153" s="409"/>
      <c r="DR153" s="409"/>
      <c r="DS153" s="409"/>
      <c r="DT153" s="409"/>
      <c r="DU153" s="409"/>
      <c r="DV153" s="409"/>
      <c r="DW153" s="409"/>
      <c r="DX153" s="409"/>
      <c r="DY153" s="409"/>
      <c r="DZ153" s="409"/>
      <c r="EA153" s="409"/>
      <c r="EB153" s="409"/>
      <c r="EC153" s="409"/>
      <c r="ED153" s="409"/>
    </row>
    <row r="154" spans="1:134" ht="18" customHeight="1">
      <c r="A154" s="61"/>
      <c r="B154" s="1053" t="s">
        <v>121</v>
      </c>
      <c r="C154" s="1054"/>
      <c r="D154" s="1055"/>
      <c r="E154" s="1334" t="str">
        <f>IF(OR($E$151="Klik &amp; Kies aantal schotels ---&gt;",$E$151="",$E$151&lt;6),"","aantal schalen maar één x 7 variaties")</f>
        <v/>
      </c>
      <c r="F154" s="1335"/>
      <c r="G154" s="1336"/>
      <c r="H154" s="363" t="e">
        <f t="shared" si="50"/>
        <v>#VALUE!</v>
      </c>
      <c r="I154" s="1290" t="str">
        <f>IF($I$151="","","Klik &amp; Kies Tapa 3 ---&gt;")</f>
        <v/>
      </c>
      <c r="J154" s="1290"/>
      <c r="K154" s="1290"/>
      <c r="L154" s="1290"/>
      <c r="M154" s="1291"/>
      <c r="N154" s="1067"/>
      <c r="O154" s="1068"/>
      <c r="P154" s="359"/>
      <c r="Q154" s="216"/>
      <c r="R154" s="216"/>
      <c r="S154" s="216"/>
      <c r="T154" s="216"/>
      <c r="U154" s="216"/>
      <c r="V154" s="217"/>
      <c r="W154" s="205"/>
      <c r="X154" s="205"/>
      <c r="Y154" s="205"/>
      <c r="Z154" s="205"/>
      <c r="AA154" s="205"/>
      <c r="AB154" s="205"/>
      <c r="AC154" s="205"/>
      <c r="AD154" s="205"/>
      <c r="AE154" s="797"/>
      <c r="AF154" s="797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 t="s">
        <v>144</v>
      </c>
      <c r="AX154" s="805"/>
      <c r="AY154" s="805"/>
      <c r="AZ154" s="805"/>
      <c r="BA154" s="805"/>
      <c r="BB154" s="805"/>
      <c r="BC154" s="810">
        <f>PRIJZEN!F26</f>
        <v>10.45</v>
      </c>
      <c r="BD154" s="805"/>
      <c r="BE154" s="65">
        <v>5</v>
      </c>
      <c r="BF154" s="65"/>
      <c r="BG154" s="65"/>
      <c r="BH154" s="65"/>
      <c r="BI154" s="65"/>
      <c r="BJ154" s="67" t="s">
        <v>188</v>
      </c>
      <c r="BK154" s="65"/>
      <c r="BL154" s="65"/>
      <c r="BM154" s="67" t="s">
        <v>188</v>
      </c>
      <c r="BN154" s="65"/>
      <c r="BO154" s="65"/>
      <c r="BP154" s="67" t="s">
        <v>188</v>
      </c>
      <c r="BQ154" s="65"/>
      <c r="BR154" s="65"/>
      <c r="BS154" s="67" t="s">
        <v>188</v>
      </c>
      <c r="BT154" s="65"/>
      <c r="BU154" s="65"/>
      <c r="BV154" s="67" t="s">
        <v>188</v>
      </c>
      <c r="BW154" s="65"/>
      <c r="BX154" s="65"/>
      <c r="BY154" s="67" t="s">
        <v>188</v>
      </c>
      <c r="BZ154" s="65"/>
      <c r="CA154" s="65"/>
      <c r="CB154" s="67" t="s">
        <v>188</v>
      </c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409"/>
      <c r="DH154" s="409"/>
      <c r="DI154" s="409"/>
      <c r="DJ154" s="409"/>
      <c r="DK154" s="409"/>
      <c r="DL154" s="409"/>
      <c r="DM154" s="409"/>
      <c r="DN154" s="409"/>
      <c r="DO154" s="409"/>
      <c r="DP154" s="409"/>
      <c r="DQ154" s="409"/>
      <c r="DR154" s="409"/>
      <c r="DS154" s="409"/>
      <c r="DT154" s="409"/>
      <c r="DU154" s="409"/>
      <c r="DV154" s="409"/>
      <c r="DW154" s="409"/>
      <c r="DX154" s="409"/>
      <c r="DY154" s="409"/>
      <c r="DZ154" s="409"/>
      <c r="EA154" s="409"/>
      <c r="EB154" s="409"/>
      <c r="EC154" s="409"/>
      <c r="ED154" s="409"/>
    </row>
    <row r="155" spans="1:134" ht="18" customHeight="1">
      <c r="A155" s="61"/>
      <c r="B155" s="1265" t="s">
        <v>198</v>
      </c>
      <c r="C155" s="1266"/>
      <c r="D155" s="1267"/>
      <c r="E155" s="1334" t="str">
        <f>IF(OR($E$151="Klik &amp; Kies aantal schotels ---&gt;",$E$151="",$E$151&lt;6),"","kiezen. Wilt u PER 3 SCHALEN")</f>
        <v/>
      </c>
      <c r="F155" s="1335"/>
      <c r="G155" s="1336"/>
      <c r="H155" s="363" t="e">
        <f t="shared" si="50"/>
        <v>#VALUE!</v>
      </c>
      <c r="I155" s="1290" t="str">
        <f>IF($I$151="","","Klik &amp; Kies Tapa 4 ---&gt;")</f>
        <v/>
      </c>
      <c r="J155" s="1290"/>
      <c r="K155" s="1290"/>
      <c r="L155" s="1290"/>
      <c r="M155" s="1291"/>
      <c r="N155" s="1067"/>
      <c r="O155" s="1068"/>
      <c r="P155" s="359"/>
      <c r="Q155" s="216"/>
      <c r="R155" s="216"/>
      <c r="S155" s="216"/>
      <c r="T155" s="216"/>
      <c r="U155" s="216"/>
      <c r="V155" s="217"/>
      <c r="W155" s="205"/>
      <c r="X155" s="205"/>
      <c r="Y155" s="205"/>
      <c r="Z155" s="205"/>
      <c r="AA155" s="214"/>
      <c r="AB155" s="205"/>
      <c r="AC155" s="205"/>
      <c r="AD155" s="214"/>
      <c r="AE155" s="797"/>
      <c r="AF155" s="797"/>
      <c r="AG155" s="214"/>
      <c r="AH155" s="205"/>
      <c r="AI155" s="205"/>
      <c r="AJ155" s="214"/>
      <c r="AK155" s="205"/>
      <c r="AL155" s="205"/>
      <c r="AM155" s="214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 t="s">
        <v>145</v>
      </c>
      <c r="AX155" s="805"/>
      <c r="AY155" s="805"/>
      <c r="AZ155" s="805"/>
      <c r="BA155" s="805"/>
      <c r="BB155" s="805"/>
      <c r="BC155" s="810">
        <f>PRIJZEN!F27</f>
        <v>9.9499999999999993</v>
      </c>
      <c r="BD155" s="805"/>
      <c r="BE155" s="65">
        <v>6</v>
      </c>
      <c r="BF155" s="65"/>
      <c r="BG155" s="65"/>
      <c r="BH155" s="65"/>
      <c r="BI155" s="65"/>
      <c r="BJ155" s="67" t="s">
        <v>189</v>
      </c>
      <c r="BK155" s="65"/>
      <c r="BL155" s="65"/>
      <c r="BM155" s="67" t="s">
        <v>189</v>
      </c>
      <c r="BN155" s="65"/>
      <c r="BO155" s="65"/>
      <c r="BP155" s="67" t="s">
        <v>189</v>
      </c>
      <c r="BQ155" s="65"/>
      <c r="BR155" s="65"/>
      <c r="BS155" s="67" t="s">
        <v>189</v>
      </c>
      <c r="BT155" s="65"/>
      <c r="BU155" s="65"/>
      <c r="BV155" s="67" t="s">
        <v>189</v>
      </c>
      <c r="BW155" s="65"/>
      <c r="BX155" s="65"/>
      <c r="BY155" s="67" t="s">
        <v>189</v>
      </c>
      <c r="BZ155" s="65"/>
      <c r="CA155" s="65"/>
      <c r="CB155" s="67" t="s">
        <v>189</v>
      </c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409"/>
      <c r="DH155" s="409"/>
      <c r="DI155" s="409"/>
      <c r="DJ155" s="409"/>
      <c r="DK155" s="409"/>
      <c r="DL155" s="409"/>
      <c r="DM155" s="409"/>
      <c r="DN155" s="409"/>
      <c r="DO155" s="409"/>
      <c r="DP155" s="409"/>
      <c r="DQ155" s="409"/>
      <c r="DR155" s="409"/>
      <c r="DS155" s="409"/>
      <c r="DT155" s="409"/>
      <c r="DU155" s="409"/>
      <c r="DV155" s="409"/>
      <c r="DW155" s="409"/>
      <c r="DX155" s="409"/>
      <c r="DY155" s="409"/>
      <c r="DZ155" s="409"/>
      <c r="EA155" s="409"/>
      <c r="EB155" s="409"/>
      <c r="EC155" s="409"/>
      <c r="ED155" s="409"/>
    </row>
    <row r="156" spans="1:134" ht="18" customHeight="1">
      <c r="A156" s="61"/>
      <c r="B156" s="708"/>
      <c r="C156" s="709"/>
      <c r="D156" s="710"/>
      <c r="E156" s="1334" t="str">
        <f>IF(OR($E$151="Klik &amp; Kies aantal schotels ---&gt;",$E$151="",$E$151&lt;6),"","andere variaties? BEL ONS DAN.")</f>
        <v/>
      </c>
      <c r="F156" s="1335"/>
      <c r="G156" s="1336"/>
      <c r="H156" s="363" t="e">
        <f t="shared" si="50"/>
        <v>#VALUE!</v>
      </c>
      <c r="I156" s="1290" t="str">
        <f>IF($I$151="","","Klik &amp; Kies Tapa 5 ---&gt;")</f>
        <v/>
      </c>
      <c r="J156" s="1290"/>
      <c r="K156" s="1290"/>
      <c r="L156" s="1290"/>
      <c r="M156" s="1291"/>
      <c r="N156" s="711"/>
      <c r="O156" s="707"/>
      <c r="P156" s="359"/>
      <c r="Q156" s="216"/>
      <c r="R156" s="216"/>
      <c r="S156" s="216"/>
      <c r="T156" s="216"/>
      <c r="U156" s="216"/>
      <c r="V156" s="217"/>
      <c r="W156" s="205"/>
      <c r="X156" s="205"/>
      <c r="Y156" s="205"/>
      <c r="Z156" s="205"/>
      <c r="AA156" s="214"/>
      <c r="AB156" s="205"/>
      <c r="AC156" s="205"/>
      <c r="AD156" s="214"/>
      <c r="AE156" s="797"/>
      <c r="AF156" s="797"/>
      <c r="AG156" s="214"/>
      <c r="AH156" s="205"/>
      <c r="AI156" s="205"/>
      <c r="AJ156" s="214"/>
      <c r="AK156" s="205"/>
      <c r="AL156" s="205"/>
      <c r="AM156" s="214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 t="s">
        <v>146</v>
      </c>
      <c r="AX156" s="805"/>
      <c r="AY156" s="805"/>
      <c r="AZ156" s="805"/>
      <c r="BA156" s="805"/>
      <c r="BB156" s="805"/>
      <c r="BC156" s="810">
        <f>PRIJZEN!F28</f>
        <v>14.95</v>
      </c>
      <c r="BD156" s="805"/>
      <c r="BE156" s="65">
        <v>7</v>
      </c>
      <c r="BF156" s="65"/>
      <c r="BG156" s="65"/>
      <c r="BH156" s="65"/>
      <c r="BI156" s="65"/>
      <c r="BJ156" s="67" t="s">
        <v>54</v>
      </c>
      <c r="BK156" s="65"/>
      <c r="BL156" s="65"/>
      <c r="BM156" s="67" t="s">
        <v>54</v>
      </c>
      <c r="BN156" s="65"/>
      <c r="BO156" s="65"/>
      <c r="BP156" s="67" t="s">
        <v>54</v>
      </c>
      <c r="BQ156" s="65"/>
      <c r="BR156" s="65"/>
      <c r="BS156" s="67" t="s">
        <v>54</v>
      </c>
      <c r="BT156" s="65"/>
      <c r="BU156" s="65"/>
      <c r="BV156" s="67" t="s">
        <v>54</v>
      </c>
      <c r="BW156" s="65"/>
      <c r="BX156" s="65"/>
      <c r="BY156" s="67" t="s">
        <v>54</v>
      </c>
      <c r="BZ156" s="65"/>
      <c r="CA156" s="65"/>
      <c r="CB156" s="67" t="s">
        <v>54</v>
      </c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409"/>
      <c r="DH156" s="409"/>
      <c r="DI156" s="409"/>
      <c r="DJ156" s="409"/>
      <c r="DK156" s="409"/>
      <c r="DL156" s="409"/>
      <c r="DM156" s="409"/>
      <c r="DN156" s="409"/>
      <c r="DO156" s="409"/>
      <c r="DP156" s="409"/>
      <c r="DQ156" s="409"/>
      <c r="DR156" s="409"/>
      <c r="DS156" s="409"/>
      <c r="DT156" s="409"/>
      <c r="DU156" s="409"/>
      <c r="DV156" s="409"/>
      <c r="DW156" s="409"/>
      <c r="DX156" s="409"/>
      <c r="DY156" s="409"/>
      <c r="DZ156" s="409"/>
      <c r="EA156" s="409"/>
      <c r="EB156" s="409"/>
      <c r="EC156" s="409"/>
      <c r="ED156" s="409"/>
    </row>
    <row r="157" spans="1:134" ht="18" customHeight="1">
      <c r="A157" s="61"/>
      <c r="B157" s="708"/>
      <c r="C157" s="709"/>
      <c r="D157" s="710"/>
      <c r="E157" s="713"/>
      <c r="F157" s="713"/>
      <c r="G157" s="713"/>
      <c r="H157" s="363" t="e">
        <f t="shared" si="50"/>
        <v>#VALUE!</v>
      </c>
      <c r="I157" s="1290" t="str">
        <f>IF($I$151="","","Klik &amp; Kies Tapa 6 ---&gt;")</f>
        <v/>
      </c>
      <c r="J157" s="1290"/>
      <c r="K157" s="1290"/>
      <c r="L157" s="1290"/>
      <c r="M157" s="1291"/>
      <c r="N157" s="711"/>
      <c r="O157" s="707"/>
      <c r="P157" s="359"/>
      <c r="Q157" s="216"/>
      <c r="R157" s="216"/>
      <c r="S157" s="216"/>
      <c r="T157" s="216"/>
      <c r="U157" s="216"/>
      <c r="V157" s="217"/>
      <c r="W157" s="205"/>
      <c r="X157" s="205"/>
      <c r="Y157" s="205"/>
      <c r="Z157" s="205"/>
      <c r="AA157" s="214"/>
      <c r="AB157" s="205"/>
      <c r="AC157" s="205"/>
      <c r="AD157" s="214"/>
      <c r="AE157" s="797"/>
      <c r="AF157" s="797"/>
      <c r="AG157" s="214"/>
      <c r="AH157" s="205"/>
      <c r="AI157" s="205"/>
      <c r="AJ157" s="214"/>
      <c r="AK157" s="205"/>
      <c r="AL157" s="205"/>
      <c r="AM157" s="214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 t="s">
        <v>147</v>
      </c>
      <c r="AX157" s="205"/>
      <c r="AY157" s="205"/>
      <c r="AZ157" s="205"/>
      <c r="BA157" s="205"/>
      <c r="BB157" s="205"/>
      <c r="BC157" s="212">
        <f>PRIJZEN!F29</f>
        <v>9.9499999999999993</v>
      </c>
      <c r="BD157" s="205"/>
      <c r="BE157" s="65">
        <v>8</v>
      </c>
      <c r="BF157" s="65"/>
      <c r="BG157" s="65"/>
      <c r="BH157" s="65"/>
      <c r="BI157" s="65"/>
      <c r="BJ157" s="67" t="s">
        <v>53</v>
      </c>
      <c r="BK157" s="65"/>
      <c r="BL157" s="65"/>
      <c r="BM157" s="67" t="s">
        <v>53</v>
      </c>
      <c r="BN157" s="65"/>
      <c r="BO157" s="65"/>
      <c r="BP157" s="67" t="s">
        <v>53</v>
      </c>
      <c r="BQ157" s="65"/>
      <c r="BR157" s="65"/>
      <c r="BS157" s="67" t="s">
        <v>53</v>
      </c>
      <c r="BT157" s="65"/>
      <c r="BU157" s="65"/>
      <c r="BV157" s="67" t="s">
        <v>53</v>
      </c>
      <c r="BW157" s="65"/>
      <c r="BX157" s="65"/>
      <c r="BY157" s="67" t="s">
        <v>53</v>
      </c>
      <c r="BZ157" s="65"/>
      <c r="CA157" s="65"/>
      <c r="CB157" s="67" t="s">
        <v>53</v>
      </c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409"/>
      <c r="DH157" s="409"/>
      <c r="DI157" s="409"/>
      <c r="DJ157" s="409"/>
      <c r="DK157" s="409"/>
      <c r="DL157" s="409"/>
      <c r="DM157" s="409"/>
      <c r="DN157" s="409"/>
      <c r="DO157" s="409"/>
      <c r="DP157" s="409"/>
      <c r="DQ157" s="409"/>
      <c r="DR157" s="409"/>
      <c r="DS157" s="409"/>
      <c r="DT157" s="409"/>
      <c r="DU157" s="409"/>
      <c r="DV157" s="409"/>
      <c r="DW157" s="409"/>
      <c r="DX157" s="409"/>
      <c r="DY157" s="409"/>
      <c r="DZ157" s="409"/>
      <c r="EA157" s="409"/>
      <c r="EB157" s="409"/>
      <c r="EC157" s="409"/>
      <c r="ED157" s="409"/>
    </row>
    <row r="158" spans="1:134" ht="18" customHeight="1">
      <c r="A158" s="61"/>
      <c r="B158" s="708"/>
      <c r="C158" s="709"/>
      <c r="D158" s="710"/>
      <c r="E158" s="713"/>
      <c r="F158" s="713"/>
      <c r="G158" s="713"/>
      <c r="H158" s="363" t="e">
        <f t="shared" si="50"/>
        <v>#VALUE!</v>
      </c>
      <c r="I158" s="1290" t="str">
        <f>IF($I$151="","","Klik &amp; Kies Tapa 7 ---&gt;")</f>
        <v/>
      </c>
      <c r="J158" s="1290"/>
      <c r="K158" s="1290"/>
      <c r="L158" s="1290"/>
      <c r="M158" s="1291"/>
      <c r="N158" s="711"/>
      <c r="O158" s="707"/>
      <c r="P158" s="359"/>
      <c r="Q158" s="216"/>
      <c r="R158" s="216"/>
      <c r="S158" s="216"/>
      <c r="T158" s="216"/>
      <c r="U158" s="216"/>
      <c r="V158" s="217"/>
      <c r="W158" s="205"/>
      <c r="X158" s="205"/>
      <c r="Y158" s="205"/>
      <c r="Z158" s="205"/>
      <c r="AA158" s="214"/>
      <c r="AB158" s="205"/>
      <c r="AC158" s="205"/>
      <c r="AD158" s="214"/>
      <c r="AE158" s="797"/>
      <c r="AF158" s="797"/>
      <c r="AG158" s="214"/>
      <c r="AH158" s="205"/>
      <c r="AI158" s="205"/>
      <c r="AJ158" s="214"/>
      <c r="AK158" s="205"/>
      <c r="AL158" s="205"/>
      <c r="AM158" s="214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 t="s">
        <v>643</v>
      </c>
      <c r="AX158" s="205"/>
      <c r="AY158" s="205"/>
      <c r="AZ158" s="205"/>
      <c r="BA158" s="205"/>
      <c r="BB158" s="205"/>
      <c r="BC158" s="212">
        <f>PRIJZEN!F30</f>
        <v>9.9499999999999993</v>
      </c>
      <c r="BD158" s="205"/>
      <c r="BE158" s="65">
        <v>9</v>
      </c>
      <c r="BF158" s="65"/>
      <c r="BG158" s="65"/>
      <c r="BH158" s="65"/>
      <c r="BI158" s="65"/>
      <c r="BJ158" s="67" t="s">
        <v>490</v>
      </c>
      <c r="BK158" s="65"/>
      <c r="BL158" s="65"/>
      <c r="BM158" s="67" t="s">
        <v>490</v>
      </c>
      <c r="BN158" s="65"/>
      <c r="BO158" s="65"/>
      <c r="BP158" s="67" t="s">
        <v>490</v>
      </c>
      <c r="BQ158" s="65"/>
      <c r="BR158" s="65"/>
      <c r="BS158" s="67" t="s">
        <v>490</v>
      </c>
      <c r="BT158" s="65"/>
      <c r="BU158" s="65"/>
      <c r="BV158" s="67" t="s">
        <v>490</v>
      </c>
      <c r="BW158" s="65"/>
      <c r="BX158" s="65"/>
      <c r="BY158" s="67" t="s">
        <v>490</v>
      </c>
      <c r="BZ158" s="65"/>
      <c r="CA158" s="65"/>
      <c r="CB158" s="67" t="s">
        <v>490</v>
      </c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409"/>
      <c r="DH158" s="409"/>
      <c r="DI158" s="409"/>
      <c r="DJ158" s="409"/>
      <c r="DK158" s="409"/>
      <c r="DL158" s="409"/>
      <c r="DM158" s="409"/>
      <c r="DN158" s="409"/>
      <c r="DO158" s="409"/>
      <c r="DP158" s="409"/>
      <c r="DQ158" s="409"/>
      <c r="DR158" s="409"/>
      <c r="DS158" s="409"/>
      <c r="DT158" s="409"/>
      <c r="DU158" s="409"/>
      <c r="DV158" s="409"/>
      <c r="DW158" s="409"/>
      <c r="DX158" s="409"/>
      <c r="DY158" s="409"/>
      <c r="DZ158" s="409"/>
      <c r="EA158" s="409"/>
      <c r="EB158" s="409"/>
      <c r="EC158" s="409"/>
      <c r="ED158" s="409"/>
    </row>
    <row r="159" spans="1:134" ht="21.9" customHeight="1">
      <c r="A159" s="61"/>
      <c r="B159" s="714" t="s">
        <v>129</v>
      </c>
      <c r="C159" s="1069" t="s">
        <v>122</v>
      </c>
      <c r="D159" s="1069"/>
      <c r="E159" s="1069"/>
      <c r="F159" s="1069"/>
      <c r="G159" s="1069"/>
      <c r="H159" s="1069"/>
      <c r="I159" s="1069"/>
      <c r="J159" s="1069"/>
      <c r="K159" s="1069"/>
      <c r="L159" s="1069"/>
      <c r="M159" s="1069"/>
      <c r="N159" s="1069"/>
      <c r="O159" s="1070"/>
      <c r="P159" s="187"/>
      <c r="Q159" s="205"/>
      <c r="R159" s="202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 t="s">
        <v>479</v>
      </c>
      <c r="AX159" s="205"/>
      <c r="AY159" s="205"/>
      <c r="AZ159" s="205"/>
      <c r="BA159" s="205"/>
      <c r="BB159" s="205"/>
      <c r="BC159" s="212">
        <f>PRIJZEN!F31</f>
        <v>8.4499999999999993</v>
      </c>
      <c r="BD159" s="205"/>
      <c r="BE159" s="65">
        <v>10</v>
      </c>
      <c r="BF159" s="65"/>
      <c r="BG159" s="65"/>
      <c r="BH159" s="65"/>
      <c r="BI159" s="65"/>
      <c r="BJ159" s="67" t="s">
        <v>57</v>
      </c>
      <c r="BK159" s="65"/>
      <c r="BL159" s="65"/>
      <c r="BM159" s="67" t="s">
        <v>57</v>
      </c>
      <c r="BN159" s="65"/>
      <c r="BO159" s="65"/>
      <c r="BP159" s="67" t="s">
        <v>57</v>
      </c>
      <c r="BQ159" s="65"/>
      <c r="BR159" s="65"/>
      <c r="BS159" s="67" t="s">
        <v>57</v>
      </c>
      <c r="BT159" s="65"/>
      <c r="BU159" s="65"/>
      <c r="BV159" s="67" t="s">
        <v>57</v>
      </c>
      <c r="BW159" s="65"/>
      <c r="BX159" s="65"/>
      <c r="BY159" s="67" t="s">
        <v>57</v>
      </c>
      <c r="BZ159" s="65"/>
      <c r="CA159" s="65"/>
      <c r="CB159" s="67" t="s">
        <v>57</v>
      </c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409"/>
      <c r="DH159" s="409"/>
      <c r="DI159" s="409"/>
      <c r="DJ159" s="409"/>
      <c r="DK159" s="409"/>
      <c r="DL159" s="409"/>
      <c r="DM159" s="409"/>
      <c r="DN159" s="409"/>
      <c r="DO159" s="409"/>
      <c r="DP159" s="409"/>
      <c r="DQ159" s="409"/>
      <c r="DR159" s="409"/>
      <c r="DS159" s="409"/>
      <c r="DT159" s="409"/>
      <c r="DU159" s="409"/>
      <c r="DV159" s="409"/>
      <c r="DW159" s="409"/>
      <c r="DX159" s="409"/>
      <c r="DY159" s="409"/>
      <c r="DZ159" s="409"/>
      <c r="EA159" s="409"/>
      <c r="EB159" s="409"/>
      <c r="EC159" s="409"/>
      <c r="ED159" s="409"/>
    </row>
    <row r="160" spans="1:134" ht="18" customHeight="1">
      <c r="A160" s="61"/>
      <c r="B160" s="727"/>
      <c r="C160" s="727"/>
      <c r="D160" s="728"/>
      <c r="E160" s="1271" t="s">
        <v>494</v>
      </c>
      <c r="F160" s="1272"/>
      <c r="G160" s="1272"/>
      <c r="H160" s="1272"/>
      <c r="I160" s="1273"/>
      <c r="J160" s="1274" t="s">
        <v>120</v>
      </c>
      <c r="K160" s="1275"/>
      <c r="L160" s="1275"/>
      <c r="M160" s="1276"/>
      <c r="N160" s="1080" t="str">
        <f>IF(OR($E160="klik &amp; kies PINTXOS NL schotel ---&gt;",$J160="Klik &amp; Kies aantal schotels ---&gt;"),"",SUM($Q160:$Z160))</f>
        <v/>
      </c>
      <c r="O160" s="1068"/>
      <c r="P160" s="359"/>
      <c r="Q160" s="365">
        <f>IF($E160=$AW$178,$BC$178*$J160,0)</f>
        <v>0</v>
      </c>
      <c r="R160" s="365">
        <f>IF($E160=$AW$179,$BC$179*$J160,0)</f>
        <v>0</v>
      </c>
      <c r="S160" s="365">
        <f>IF($E160=$AW$180,$BC$180*$J160,0)</f>
        <v>0</v>
      </c>
      <c r="T160" s="365">
        <f>IF($E160=$AW$181,$BC$181*$J160,0)</f>
        <v>0</v>
      </c>
      <c r="U160" s="365">
        <f>IF($E160=$AW$182,$BC$182*$J160,0)</f>
        <v>0</v>
      </c>
      <c r="V160" s="365">
        <f>IF($E160=$AW$183,$BC$183*$J160,0)</f>
        <v>0</v>
      </c>
      <c r="W160" s="365">
        <f>IF($E160=$AW$184,$BC$184*$J160,0)</f>
        <v>0</v>
      </c>
      <c r="X160" s="365">
        <f>IF($E160=$AW$185,$BC$185*$J160,0)</f>
        <v>0</v>
      </c>
      <c r="Y160" s="365">
        <f>IF($E160=$AW$186,$BC$186*$J160,0)</f>
        <v>0</v>
      </c>
      <c r="Z160" s="365">
        <f>IF($E160=$AW$187,$BC$187*$J160,0)</f>
        <v>0</v>
      </c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 t="s">
        <v>480</v>
      </c>
      <c r="AX160" s="205"/>
      <c r="AY160" s="205"/>
      <c r="AZ160" s="205"/>
      <c r="BA160" s="205"/>
      <c r="BB160" s="205"/>
      <c r="BC160" s="212">
        <f>PRIJZEN!F32</f>
        <v>8.4499999999999993</v>
      </c>
      <c r="BD160" s="205"/>
      <c r="BE160" s="65"/>
      <c r="BF160" s="65"/>
      <c r="BG160" s="65"/>
      <c r="BH160" s="65"/>
      <c r="BI160" s="65"/>
      <c r="BJ160" s="67" t="s">
        <v>58</v>
      </c>
      <c r="BK160" s="65"/>
      <c r="BL160" s="65"/>
      <c r="BM160" s="67" t="s">
        <v>58</v>
      </c>
      <c r="BN160" s="65"/>
      <c r="BO160" s="65"/>
      <c r="BP160" s="67" t="s">
        <v>58</v>
      </c>
      <c r="BQ160" s="65"/>
      <c r="BR160" s="65"/>
      <c r="BS160" s="67" t="s">
        <v>58</v>
      </c>
      <c r="BT160" s="65"/>
      <c r="BU160" s="65"/>
      <c r="BV160" s="67" t="s">
        <v>58</v>
      </c>
      <c r="BW160" s="65"/>
      <c r="BX160" s="65"/>
      <c r="BY160" s="67" t="s">
        <v>58</v>
      </c>
      <c r="BZ160" s="65"/>
      <c r="CA160" s="65"/>
      <c r="CB160" s="67" t="s">
        <v>58</v>
      </c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409"/>
      <c r="DH160" s="409"/>
      <c r="DI160" s="409"/>
      <c r="DJ160" s="409"/>
      <c r="DK160" s="409"/>
      <c r="DL160" s="409"/>
      <c r="DM160" s="409"/>
      <c r="DN160" s="409"/>
      <c r="DO160" s="409"/>
      <c r="DP160" s="409"/>
      <c r="DQ160" s="409"/>
      <c r="DR160" s="409"/>
      <c r="DS160" s="409"/>
      <c r="DT160" s="409"/>
      <c r="DU160" s="409"/>
      <c r="DV160" s="409"/>
      <c r="DW160" s="409"/>
      <c r="DX160" s="409"/>
      <c r="DY160" s="409"/>
      <c r="DZ160" s="409"/>
      <c r="EA160" s="409"/>
      <c r="EB160" s="409"/>
      <c r="EC160" s="409"/>
      <c r="ED160" s="409"/>
    </row>
    <row r="161" spans="1:134" ht="18" customHeight="1">
      <c r="A161" s="61"/>
      <c r="B161" s="146"/>
      <c r="C161" s="147"/>
      <c r="D161" s="148"/>
      <c r="E161" s="1056" t="s">
        <v>494</v>
      </c>
      <c r="F161" s="1057"/>
      <c r="G161" s="1057"/>
      <c r="H161" s="1057"/>
      <c r="I161" s="1058"/>
      <c r="J161" s="1059" t="s">
        <v>120</v>
      </c>
      <c r="K161" s="1060"/>
      <c r="L161" s="1060"/>
      <c r="M161" s="1061"/>
      <c r="N161" s="1080" t="str">
        <f t="shared" ref="N161:N167" si="51">IF(OR($E161="klik &amp; kies PINTXOS NL schotel ---&gt;",$J161="Klik &amp; Kies aantal schotels ---&gt;"),"",SUM($Q161:$Z161))</f>
        <v/>
      </c>
      <c r="O161" s="1068"/>
      <c r="P161" s="359"/>
      <c r="Q161" s="365">
        <f t="shared" ref="Q161:Q167" si="52">IF($E161=$AW$178,$BC$178*$J161,0)</f>
        <v>0</v>
      </c>
      <c r="R161" s="365">
        <f t="shared" ref="R161:R167" si="53">IF($E161=$AW$179,$BC$179*$J161,0)</f>
        <v>0</v>
      </c>
      <c r="S161" s="365">
        <f t="shared" ref="S161:S167" si="54">IF($E161=$AW$180,$BC$180*$J161,0)</f>
        <v>0</v>
      </c>
      <c r="T161" s="365">
        <f t="shared" ref="T161:T167" si="55">IF($E161=$AW$181,$BC$181*$J161,0)</f>
        <v>0</v>
      </c>
      <c r="U161" s="365">
        <f t="shared" ref="U161:U167" si="56">IF($E161=$AW$182,$BC$182*$J161,0)</f>
        <v>0</v>
      </c>
      <c r="V161" s="365">
        <f t="shared" ref="V161:V167" si="57">IF($E161=$AW$183,$BC$183*$J161,0)</f>
        <v>0</v>
      </c>
      <c r="W161" s="365">
        <f t="shared" ref="W161:W167" si="58">IF($E161=$AW$184,$BC$184*$J161,0)</f>
        <v>0</v>
      </c>
      <c r="X161" s="365">
        <f t="shared" ref="X161:X167" si="59">IF($E161=$AW$185,$BC$185*$J161,0)</f>
        <v>0</v>
      </c>
      <c r="Y161" s="365">
        <f t="shared" ref="Y161:Y167" si="60">IF($E161=$AW$186,$BC$186*$J161,0)</f>
        <v>0</v>
      </c>
      <c r="Z161" s="365">
        <f t="shared" ref="Z161:Z167" si="61">IF($E161=$AW$187,$BC$187*$J161,0)</f>
        <v>0</v>
      </c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 t="s">
        <v>481</v>
      </c>
      <c r="AX161" s="205"/>
      <c r="AY161" s="205"/>
      <c r="AZ161" s="205"/>
      <c r="BA161" s="205"/>
      <c r="BB161" s="205"/>
      <c r="BC161" s="212">
        <f>PRIJZEN!F33</f>
        <v>8.4499999999999993</v>
      </c>
      <c r="BD161" s="205"/>
      <c r="BE161" s="65"/>
      <c r="BF161" s="65"/>
      <c r="BG161" s="65"/>
      <c r="BH161" s="65"/>
      <c r="BI161" s="65"/>
      <c r="BJ161" s="67" t="s">
        <v>491</v>
      </c>
      <c r="BK161" s="65"/>
      <c r="BL161" s="65"/>
      <c r="BM161" s="67" t="s">
        <v>491</v>
      </c>
      <c r="BN161" s="65"/>
      <c r="BO161" s="65"/>
      <c r="BP161" s="67" t="s">
        <v>491</v>
      </c>
      <c r="BQ161" s="65"/>
      <c r="BR161" s="65"/>
      <c r="BS161" s="67" t="s">
        <v>491</v>
      </c>
      <c r="BT161" s="65"/>
      <c r="BU161" s="65"/>
      <c r="BV161" s="67" t="s">
        <v>491</v>
      </c>
      <c r="BW161" s="65"/>
      <c r="BX161" s="65"/>
      <c r="BY161" s="67" t="s">
        <v>491</v>
      </c>
      <c r="BZ161" s="65"/>
      <c r="CA161" s="65"/>
      <c r="CB161" s="67" t="s">
        <v>491</v>
      </c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409"/>
      <c r="DH161" s="409"/>
      <c r="DI161" s="409"/>
      <c r="DJ161" s="409"/>
      <c r="DK161" s="409"/>
      <c r="DL161" s="409"/>
      <c r="DM161" s="409"/>
      <c r="DN161" s="409"/>
      <c r="DO161" s="409"/>
      <c r="DP161" s="409"/>
      <c r="DQ161" s="409"/>
      <c r="DR161" s="409"/>
      <c r="DS161" s="409"/>
      <c r="DT161" s="409"/>
      <c r="DU161" s="409"/>
      <c r="DV161" s="409"/>
      <c r="DW161" s="409"/>
      <c r="DX161" s="409"/>
      <c r="DY161" s="409"/>
      <c r="DZ161" s="409"/>
      <c r="EA161" s="409"/>
      <c r="EB161" s="409"/>
      <c r="EC161" s="409"/>
      <c r="ED161" s="409"/>
    </row>
    <row r="162" spans="1:134" ht="18" customHeight="1">
      <c r="A162" s="61"/>
      <c r="B162" s="1053" t="s">
        <v>118</v>
      </c>
      <c r="C162" s="1054"/>
      <c r="D162" s="1055"/>
      <c r="E162" s="1056" t="s">
        <v>494</v>
      </c>
      <c r="F162" s="1057"/>
      <c r="G162" s="1057"/>
      <c r="H162" s="1057"/>
      <c r="I162" s="1058"/>
      <c r="J162" s="1059" t="s">
        <v>120</v>
      </c>
      <c r="K162" s="1060"/>
      <c r="L162" s="1060"/>
      <c r="M162" s="1061"/>
      <c r="N162" s="1080" t="str">
        <f t="shared" si="51"/>
        <v/>
      </c>
      <c r="O162" s="1068"/>
      <c r="P162" s="359"/>
      <c r="Q162" s="365">
        <f t="shared" si="52"/>
        <v>0</v>
      </c>
      <c r="R162" s="365">
        <f t="shared" si="53"/>
        <v>0</v>
      </c>
      <c r="S162" s="365">
        <f t="shared" si="54"/>
        <v>0</v>
      </c>
      <c r="T162" s="365">
        <f t="shared" si="55"/>
        <v>0</v>
      </c>
      <c r="U162" s="365">
        <f t="shared" si="56"/>
        <v>0</v>
      </c>
      <c r="V162" s="365">
        <f t="shared" si="57"/>
        <v>0</v>
      </c>
      <c r="W162" s="365">
        <f t="shared" si="58"/>
        <v>0</v>
      </c>
      <c r="X162" s="365">
        <f t="shared" si="59"/>
        <v>0</v>
      </c>
      <c r="Y162" s="365">
        <f t="shared" si="60"/>
        <v>0</v>
      </c>
      <c r="Z162" s="365">
        <f t="shared" si="61"/>
        <v>0</v>
      </c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 t="s">
        <v>149</v>
      </c>
      <c r="AX162" s="205"/>
      <c r="AY162" s="205"/>
      <c r="AZ162" s="205"/>
      <c r="BA162" s="205"/>
      <c r="BB162" s="205"/>
      <c r="BC162" s="212">
        <f>PRIJZEN!F34</f>
        <v>8.4499999999999993</v>
      </c>
      <c r="BD162" s="20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409"/>
      <c r="DH162" s="409"/>
      <c r="DI162" s="409"/>
      <c r="DJ162" s="409"/>
      <c r="DK162" s="409"/>
      <c r="DL162" s="409"/>
      <c r="DM162" s="409"/>
      <c r="DN162" s="409"/>
      <c r="DO162" s="409"/>
      <c r="DP162" s="409"/>
      <c r="DQ162" s="409"/>
      <c r="DR162" s="409"/>
      <c r="DS162" s="409"/>
      <c r="DT162" s="409"/>
      <c r="DU162" s="409"/>
      <c r="DV162" s="409"/>
      <c r="DW162" s="409"/>
      <c r="DX162" s="409"/>
      <c r="DY162" s="409"/>
      <c r="DZ162" s="409"/>
      <c r="EA162" s="409"/>
      <c r="EB162" s="409"/>
      <c r="EC162" s="409"/>
      <c r="ED162" s="409"/>
    </row>
    <row r="163" spans="1:134" ht="18" customHeight="1">
      <c r="A163" s="61"/>
      <c r="B163" s="1053" t="s">
        <v>121</v>
      </c>
      <c r="C163" s="1054"/>
      <c r="D163" s="1055"/>
      <c r="E163" s="1056" t="s">
        <v>494</v>
      </c>
      <c r="F163" s="1057"/>
      <c r="G163" s="1057"/>
      <c r="H163" s="1057"/>
      <c r="I163" s="1058"/>
      <c r="J163" s="1268" t="s">
        <v>120</v>
      </c>
      <c r="K163" s="1269"/>
      <c r="L163" s="1269"/>
      <c r="M163" s="1270"/>
      <c r="N163" s="1080" t="str">
        <f t="shared" si="51"/>
        <v/>
      </c>
      <c r="O163" s="1068"/>
      <c r="P163" s="359"/>
      <c r="Q163" s="365">
        <f t="shared" si="52"/>
        <v>0</v>
      </c>
      <c r="R163" s="365">
        <f t="shared" si="53"/>
        <v>0</v>
      </c>
      <c r="S163" s="365">
        <f t="shared" si="54"/>
        <v>0</v>
      </c>
      <c r="T163" s="365">
        <f t="shared" si="55"/>
        <v>0</v>
      </c>
      <c r="U163" s="365">
        <f t="shared" si="56"/>
        <v>0</v>
      </c>
      <c r="V163" s="365">
        <f t="shared" si="57"/>
        <v>0</v>
      </c>
      <c r="W163" s="365">
        <f t="shared" si="58"/>
        <v>0</v>
      </c>
      <c r="X163" s="365">
        <f t="shared" si="59"/>
        <v>0</v>
      </c>
      <c r="Y163" s="365">
        <f t="shared" si="60"/>
        <v>0</v>
      </c>
      <c r="Z163" s="365">
        <f t="shared" si="61"/>
        <v>0</v>
      </c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 t="s">
        <v>482</v>
      </c>
      <c r="AX163" s="205"/>
      <c r="AY163" s="205"/>
      <c r="AZ163" s="205"/>
      <c r="BA163" s="205"/>
      <c r="BB163" s="205"/>
      <c r="BC163" s="212">
        <f>PRIJZEN!F35</f>
        <v>9.4499999999999993</v>
      </c>
      <c r="BD163" s="205"/>
      <c r="BE163" s="65" t="s">
        <v>166</v>
      </c>
      <c r="BF163" s="65"/>
      <c r="BG163" s="65"/>
      <c r="BH163" s="65"/>
      <c r="BI163" s="65"/>
      <c r="BJ163" s="65" t="s">
        <v>120</v>
      </c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409"/>
      <c r="DH163" s="409"/>
      <c r="DI163" s="409"/>
      <c r="DJ163" s="409"/>
      <c r="DK163" s="409"/>
      <c r="DL163" s="409"/>
      <c r="DM163" s="409"/>
      <c r="DN163" s="409"/>
      <c r="DO163" s="409"/>
      <c r="DP163" s="409"/>
      <c r="DQ163" s="409"/>
      <c r="DR163" s="409"/>
      <c r="DS163" s="409"/>
      <c r="DT163" s="409"/>
      <c r="DU163" s="409"/>
      <c r="DV163" s="409"/>
      <c r="DW163" s="409"/>
      <c r="DX163" s="409"/>
      <c r="DY163" s="409"/>
      <c r="DZ163" s="409"/>
      <c r="EA163" s="409"/>
      <c r="EB163" s="409"/>
      <c r="EC163" s="409"/>
      <c r="ED163" s="409"/>
    </row>
    <row r="164" spans="1:134" ht="18" customHeight="1">
      <c r="A164" s="61"/>
      <c r="B164" s="708"/>
      <c r="C164" s="709"/>
      <c r="D164" s="710"/>
      <c r="E164" s="1056" t="s">
        <v>494</v>
      </c>
      <c r="F164" s="1057"/>
      <c r="G164" s="1057"/>
      <c r="H164" s="1057"/>
      <c r="I164" s="1058"/>
      <c r="J164" s="1059" t="s">
        <v>120</v>
      </c>
      <c r="K164" s="1060"/>
      <c r="L164" s="1060"/>
      <c r="M164" s="1061"/>
      <c r="N164" s="1080" t="str">
        <f t="shared" si="51"/>
        <v/>
      </c>
      <c r="O164" s="1068"/>
      <c r="P164" s="359"/>
      <c r="Q164" s="365">
        <f t="shared" si="52"/>
        <v>0</v>
      </c>
      <c r="R164" s="365">
        <f t="shared" si="53"/>
        <v>0</v>
      </c>
      <c r="S164" s="365">
        <f t="shared" si="54"/>
        <v>0</v>
      </c>
      <c r="T164" s="365">
        <f t="shared" si="55"/>
        <v>0</v>
      </c>
      <c r="U164" s="365">
        <f t="shared" si="56"/>
        <v>0</v>
      </c>
      <c r="V164" s="365">
        <f t="shared" si="57"/>
        <v>0</v>
      </c>
      <c r="W164" s="365">
        <f t="shared" si="58"/>
        <v>0</v>
      </c>
      <c r="X164" s="365">
        <f t="shared" si="59"/>
        <v>0</v>
      </c>
      <c r="Y164" s="365">
        <f t="shared" si="60"/>
        <v>0</v>
      </c>
      <c r="Z164" s="365">
        <f t="shared" si="61"/>
        <v>0</v>
      </c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 t="s">
        <v>150</v>
      </c>
      <c r="AX164" s="205"/>
      <c r="AY164" s="205"/>
      <c r="AZ164" s="205"/>
      <c r="BA164" s="205"/>
      <c r="BB164" s="205"/>
      <c r="BC164" s="212">
        <f>PRIJZEN!F36</f>
        <v>8.4499999999999993</v>
      </c>
      <c r="BD164" s="205"/>
      <c r="BE164" s="65"/>
      <c r="BF164" s="65"/>
      <c r="BG164" s="65"/>
      <c r="BH164" s="65"/>
      <c r="BI164" s="65"/>
      <c r="BJ164" s="65">
        <v>1</v>
      </c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409"/>
      <c r="DH164" s="409"/>
      <c r="DI164" s="409"/>
      <c r="DJ164" s="409"/>
      <c r="DK164" s="409"/>
      <c r="DL164" s="409"/>
      <c r="DM164" s="409"/>
      <c r="DN164" s="409"/>
      <c r="DO164" s="409"/>
      <c r="DP164" s="409"/>
      <c r="DQ164" s="409"/>
      <c r="DR164" s="409"/>
      <c r="DS164" s="409"/>
      <c r="DT164" s="409"/>
      <c r="DU164" s="409"/>
      <c r="DV164" s="409"/>
      <c r="DW164" s="409"/>
      <c r="DX164" s="409"/>
      <c r="DY164" s="409"/>
      <c r="DZ164" s="409"/>
      <c r="EA164" s="409"/>
      <c r="EB164" s="409"/>
      <c r="EC164" s="409"/>
      <c r="ED164" s="409"/>
    </row>
    <row r="165" spans="1:134" ht="18" customHeight="1">
      <c r="A165" s="61"/>
      <c r="B165" s="708"/>
      <c r="C165" s="709"/>
      <c r="D165" s="710"/>
      <c r="E165" s="1056" t="s">
        <v>494</v>
      </c>
      <c r="F165" s="1057"/>
      <c r="G165" s="1057"/>
      <c r="H165" s="1057"/>
      <c r="I165" s="1058"/>
      <c r="J165" s="1059" t="s">
        <v>120</v>
      </c>
      <c r="K165" s="1060"/>
      <c r="L165" s="1060"/>
      <c r="M165" s="1061"/>
      <c r="N165" s="1080" t="str">
        <f t="shared" si="51"/>
        <v/>
      </c>
      <c r="O165" s="1068"/>
      <c r="P165" s="359"/>
      <c r="Q165" s="365">
        <f t="shared" si="52"/>
        <v>0</v>
      </c>
      <c r="R165" s="365">
        <f t="shared" si="53"/>
        <v>0</v>
      </c>
      <c r="S165" s="365">
        <f t="shared" si="54"/>
        <v>0</v>
      </c>
      <c r="T165" s="365">
        <f t="shared" si="55"/>
        <v>0</v>
      </c>
      <c r="U165" s="365">
        <f t="shared" si="56"/>
        <v>0</v>
      </c>
      <c r="V165" s="365">
        <f t="shared" si="57"/>
        <v>0</v>
      </c>
      <c r="W165" s="365">
        <f t="shared" si="58"/>
        <v>0</v>
      </c>
      <c r="X165" s="365">
        <f t="shared" si="59"/>
        <v>0</v>
      </c>
      <c r="Y165" s="365">
        <f t="shared" si="60"/>
        <v>0</v>
      </c>
      <c r="Z165" s="365">
        <f t="shared" si="61"/>
        <v>0</v>
      </c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 t="s">
        <v>483</v>
      </c>
      <c r="AX165" s="205"/>
      <c r="AY165" s="205"/>
      <c r="AZ165" s="205"/>
      <c r="BA165" s="205"/>
      <c r="BB165" s="205"/>
      <c r="BC165" s="212">
        <f>PRIJZEN!F37</f>
        <v>8.4499999999999993</v>
      </c>
      <c r="BD165" s="205"/>
      <c r="BE165" s="65" t="s">
        <v>505</v>
      </c>
      <c r="BF165" s="65"/>
      <c r="BG165" s="65"/>
      <c r="BH165" s="65"/>
      <c r="BI165" s="65"/>
      <c r="BJ165" s="65">
        <v>2</v>
      </c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409"/>
      <c r="DH165" s="409"/>
      <c r="DI165" s="409"/>
      <c r="DJ165" s="409"/>
      <c r="DK165" s="409"/>
      <c r="DL165" s="409"/>
      <c r="DM165" s="409"/>
      <c r="DN165" s="409"/>
      <c r="DO165" s="409"/>
      <c r="DP165" s="409"/>
      <c r="DQ165" s="409"/>
      <c r="DR165" s="409"/>
      <c r="DS165" s="409"/>
      <c r="DT165" s="409"/>
      <c r="DU165" s="409"/>
      <c r="DV165" s="409"/>
      <c r="DW165" s="409"/>
      <c r="DX165" s="409"/>
      <c r="DY165" s="409"/>
      <c r="DZ165" s="409"/>
      <c r="EA165" s="409"/>
      <c r="EB165" s="409"/>
      <c r="EC165" s="409"/>
      <c r="ED165" s="409"/>
    </row>
    <row r="166" spans="1:134" ht="18" customHeight="1">
      <c r="A166" s="61"/>
      <c r="B166" s="708"/>
      <c r="C166" s="709"/>
      <c r="D166" s="710"/>
      <c r="E166" s="1268" t="s">
        <v>494</v>
      </c>
      <c r="F166" s="1269"/>
      <c r="G166" s="1269"/>
      <c r="H166" s="1269"/>
      <c r="I166" s="1270"/>
      <c r="J166" s="1268" t="s">
        <v>120</v>
      </c>
      <c r="K166" s="1269"/>
      <c r="L166" s="1269"/>
      <c r="M166" s="1270"/>
      <c r="N166" s="1080" t="str">
        <f t="shared" si="51"/>
        <v/>
      </c>
      <c r="O166" s="1068"/>
      <c r="P166" s="359"/>
      <c r="Q166" s="365">
        <f t="shared" si="52"/>
        <v>0</v>
      </c>
      <c r="R166" s="365">
        <f t="shared" si="53"/>
        <v>0</v>
      </c>
      <c r="S166" s="365">
        <f t="shared" si="54"/>
        <v>0</v>
      </c>
      <c r="T166" s="365">
        <f t="shared" si="55"/>
        <v>0</v>
      </c>
      <c r="U166" s="365">
        <f t="shared" si="56"/>
        <v>0</v>
      </c>
      <c r="V166" s="365">
        <f t="shared" si="57"/>
        <v>0</v>
      </c>
      <c r="W166" s="365">
        <f t="shared" si="58"/>
        <v>0</v>
      </c>
      <c r="X166" s="365">
        <f t="shared" si="59"/>
        <v>0</v>
      </c>
      <c r="Y166" s="365">
        <f t="shared" si="60"/>
        <v>0</v>
      </c>
      <c r="Z166" s="365">
        <f t="shared" si="61"/>
        <v>0</v>
      </c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  <c r="AT166" s="205"/>
      <c r="AU166" s="205"/>
      <c r="AV166" s="205"/>
      <c r="AW166" s="205" t="s">
        <v>151</v>
      </c>
      <c r="AX166" s="205"/>
      <c r="AY166" s="205"/>
      <c r="AZ166" s="205"/>
      <c r="BA166" s="205"/>
      <c r="BB166" s="205"/>
      <c r="BC166" s="212">
        <f>PRIJZEN!F38</f>
        <v>8.4499999999999993</v>
      </c>
      <c r="BD166" s="205"/>
      <c r="BE166" s="65" t="s">
        <v>167</v>
      </c>
      <c r="BF166" s="65"/>
      <c r="BG166" s="65"/>
      <c r="BH166" s="65"/>
      <c r="BI166" s="65"/>
      <c r="BJ166" s="65">
        <v>3</v>
      </c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409"/>
      <c r="DH166" s="409"/>
      <c r="DI166" s="409"/>
      <c r="DJ166" s="409"/>
      <c r="DK166" s="409"/>
      <c r="DL166" s="409"/>
      <c r="DM166" s="409"/>
      <c r="DN166" s="409"/>
      <c r="DO166" s="409"/>
      <c r="DP166" s="409"/>
      <c r="DQ166" s="409"/>
      <c r="DR166" s="409"/>
      <c r="DS166" s="409"/>
      <c r="DT166" s="409"/>
      <c r="DU166" s="409"/>
      <c r="DV166" s="409"/>
      <c r="DW166" s="409"/>
      <c r="DX166" s="409"/>
      <c r="DY166" s="409"/>
      <c r="DZ166" s="409"/>
      <c r="EA166" s="409"/>
      <c r="EB166" s="409"/>
      <c r="EC166" s="409"/>
      <c r="ED166" s="409"/>
    </row>
    <row r="167" spans="1:134" ht="18" customHeight="1">
      <c r="A167" s="61"/>
      <c r="B167" s="708"/>
      <c r="C167" s="709"/>
      <c r="D167" s="710"/>
      <c r="E167" s="1279" t="s">
        <v>494</v>
      </c>
      <c r="F167" s="1280"/>
      <c r="G167" s="1280"/>
      <c r="H167" s="1280"/>
      <c r="I167" s="1281"/>
      <c r="J167" s="1059" t="s">
        <v>120</v>
      </c>
      <c r="K167" s="1060"/>
      <c r="L167" s="1060"/>
      <c r="M167" s="1061"/>
      <c r="N167" s="1080" t="str">
        <f t="shared" si="51"/>
        <v/>
      </c>
      <c r="O167" s="1068"/>
      <c r="P167" s="359"/>
      <c r="Q167" s="365">
        <f t="shared" si="52"/>
        <v>0</v>
      </c>
      <c r="R167" s="365">
        <f t="shared" si="53"/>
        <v>0</v>
      </c>
      <c r="S167" s="365">
        <f t="shared" si="54"/>
        <v>0</v>
      </c>
      <c r="T167" s="365">
        <f t="shared" si="55"/>
        <v>0</v>
      </c>
      <c r="U167" s="365">
        <f t="shared" si="56"/>
        <v>0</v>
      </c>
      <c r="V167" s="365">
        <f t="shared" si="57"/>
        <v>0</v>
      </c>
      <c r="W167" s="365">
        <f t="shared" si="58"/>
        <v>0</v>
      </c>
      <c r="X167" s="365">
        <f t="shared" si="59"/>
        <v>0</v>
      </c>
      <c r="Y167" s="365">
        <f t="shared" si="60"/>
        <v>0</v>
      </c>
      <c r="Z167" s="365">
        <f t="shared" si="61"/>
        <v>0</v>
      </c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  <c r="AT167" s="205"/>
      <c r="AU167" s="205"/>
      <c r="AV167" s="205"/>
      <c r="AW167" s="205" t="s">
        <v>477</v>
      </c>
      <c r="AX167" s="205"/>
      <c r="AY167" s="205"/>
      <c r="AZ167" s="205"/>
      <c r="BA167" s="205"/>
      <c r="BB167" s="205"/>
      <c r="BC167" s="212">
        <f>PRIJZEN!F39</f>
        <v>10.45</v>
      </c>
      <c r="BD167" s="205"/>
      <c r="BE167" s="65" t="s">
        <v>168</v>
      </c>
      <c r="BF167" s="65"/>
      <c r="BG167" s="65"/>
      <c r="BH167" s="65"/>
      <c r="BI167" s="65"/>
      <c r="BJ167" s="65">
        <v>4</v>
      </c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1"/>
      <c r="DF167" s="91"/>
      <c r="DG167" s="409"/>
      <c r="DH167" s="409"/>
      <c r="DI167" s="409"/>
      <c r="DJ167" s="409"/>
      <c r="DK167" s="409"/>
      <c r="DL167" s="409"/>
      <c r="DM167" s="409"/>
      <c r="DN167" s="409"/>
      <c r="DO167" s="409"/>
      <c r="DP167" s="409"/>
      <c r="DQ167" s="409"/>
      <c r="DR167" s="409"/>
      <c r="DS167" s="409"/>
      <c r="DT167" s="409"/>
      <c r="DU167" s="409"/>
      <c r="DV167" s="409"/>
      <c r="DW167" s="409"/>
      <c r="DX167" s="409"/>
      <c r="DY167" s="409"/>
      <c r="DZ167" s="409"/>
      <c r="EA167" s="409"/>
      <c r="EB167" s="409"/>
      <c r="EC167" s="409"/>
      <c r="ED167" s="409"/>
    </row>
    <row r="168" spans="1:134" ht="21.9" customHeight="1">
      <c r="A168" s="61"/>
      <c r="B168" s="714" t="s">
        <v>130</v>
      </c>
      <c r="C168" s="1069" t="s">
        <v>123</v>
      </c>
      <c r="D168" s="1069"/>
      <c r="E168" s="1069"/>
      <c r="F168" s="1069"/>
      <c r="G168" s="1069"/>
      <c r="H168" s="1069"/>
      <c r="I168" s="1069"/>
      <c r="J168" s="1069"/>
      <c r="K168" s="1069"/>
      <c r="L168" s="1069"/>
      <c r="M168" s="1069"/>
      <c r="N168" s="1069"/>
      <c r="O168" s="1070"/>
      <c r="P168" s="187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  <c r="AT168" s="205"/>
      <c r="AU168" s="205"/>
      <c r="AV168" s="205"/>
      <c r="AW168" s="205" t="s">
        <v>478</v>
      </c>
      <c r="AX168" s="205"/>
      <c r="AY168" s="205"/>
      <c r="AZ168" s="205"/>
      <c r="BA168" s="205"/>
      <c r="BB168" s="205"/>
      <c r="BC168" s="212">
        <f>PRIJZEN!F40</f>
        <v>10.45</v>
      </c>
      <c r="BD168" s="205"/>
      <c r="BE168" s="65" t="s">
        <v>169</v>
      </c>
      <c r="BF168" s="65"/>
      <c r="BG168" s="65"/>
      <c r="BH168" s="65"/>
      <c r="BI168" s="65"/>
      <c r="BJ168" s="65">
        <v>5</v>
      </c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1"/>
      <c r="DF168" s="91"/>
      <c r="DG168" s="409"/>
      <c r="DH168" s="409"/>
      <c r="DI168" s="409"/>
      <c r="DJ168" s="409"/>
      <c r="DK168" s="409"/>
      <c r="DL168" s="409"/>
      <c r="DM168" s="409"/>
      <c r="DN168" s="409"/>
      <c r="DO168" s="409"/>
      <c r="DP168" s="409"/>
      <c r="DQ168" s="409"/>
      <c r="DR168" s="409"/>
      <c r="DS168" s="409"/>
      <c r="DT168" s="409"/>
      <c r="DU168" s="409"/>
      <c r="DV168" s="409"/>
      <c r="DW168" s="409"/>
      <c r="DX168" s="409"/>
      <c r="DY168" s="409"/>
      <c r="DZ168" s="409"/>
      <c r="EA168" s="409"/>
      <c r="EB168" s="409"/>
      <c r="EC168" s="409"/>
      <c r="ED168" s="409"/>
    </row>
    <row r="169" spans="1:134" ht="18" customHeight="1">
      <c r="A169" s="61"/>
      <c r="B169" s="1053" t="s">
        <v>124</v>
      </c>
      <c r="C169" s="1054"/>
      <c r="D169" s="1054"/>
      <c r="E169" s="1303" t="s">
        <v>125</v>
      </c>
      <c r="F169" s="1304"/>
      <c r="G169" s="1304"/>
      <c r="H169" s="1305"/>
      <c r="I169" s="1292" t="str">
        <f>IF(OR($E$169=$AW$189,$E$169=$AW$190,$E$169=$AW$191,$E$169=$AW$192,$E$169=$AW$193,$E$169=$AW$194,$E$169=$AW$195,$E$169=$AW$196,$E$169=$AW$197),"KIES BELEG PINTXOS","")</f>
        <v/>
      </c>
      <c r="J169" s="1293"/>
      <c r="K169" s="1293"/>
      <c r="L169" s="1293"/>
      <c r="M169" s="1294"/>
      <c r="N169" s="1062" t="str">
        <f>IF(OR(E169="klik &amp; kies aantal stuks ---&gt;",$E$169=$AW$198,),"",SUM(Q169:Y169))</f>
        <v/>
      </c>
      <c r="O169" s="1063"/>
      <c r="P169" s="359"/>
      <c r="Q169" s="216">
        <f>IF($E169=$AW$189,$BC$189,0)</f>
        <v>0</v>
      </c>
      <c r="R169" s="216">
        <f>IF($E169=$AW$190,$BC$190,0)</f>
        <v>0</v>
      </c>
      <c r="S169" s="216">
        <f>IF($E169=$AW$191,$BC$191,0)</f>
        <v>0</v>
      </c>
      <c r="T169" s="216">
        <f>IF($E169=$AW$192,$BC$192,0)</f>
        <v>0</v>
      </c>
      <c r="U169" s="216">
        <f>IF($E169=$AW$193,$BC$193,0)</f>
        <v>0</v>
      </c>
      <c r="V169" s="216">
        <f>IF($E169=$AW$194,$BC$194,0)</f>
        <v>0</v>
      </c>
      <c r="W169" s="216">
        <f>IF($E169=$AW$195,$BC$195,0)</f>
        <v>0</v>
      </c>
      <c r="X169" s="216">
        <f>IF($E169=$AW$196,$BC$196,0)</f>
        <v>0</v>
      </c>
      <c r="Y169" s="216">
        <f>IF($E169=$AW$197,$BC$197,0)</f>
        <v>0</v>
      </c>
      <c r="Z169" s="218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5"/>
      <c r="AR169" s="205"/>
      <c r="AS169" s="205"/>
      <c r="AT169" s="205"/>
      <c r="AU169" s="205"/>
      <c r="AV169" s="205"/>
      <c r="AW169" s="205" t="s">
        <v>152</v>
      </c>
      <c r="AX169" s="205"/>
      <c r="AY169" s="205"/>
      <c r="AZ169" s="205"/>
      <c r="BA169" s="205"/>
      <c r="BB169" s="205"/>
      <c r="BC169" s="212">
        <f>PRIJZEN!F41</f>
        <v>10.45</v>
      </c>
      <c r="BD169" s="205"/>
      <c r="BE169" s="65" t="s">
        <v>170</v>
      </c>
      <c r="BF169" s="65"/>
      <c r="BG169" s="65"/>
      <c r="BH169" s="65"/>
      <c r="BI169" s="65"/>
      <c r="BJ169" s="65">
        <v>6</v>
      </c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1"/>
      <c r="DF169" s="91"/>
      <c r="DG169" s="409"/>
      <c r="DH169" s="409"/>
      <c r="DI169" s="409"/>
      <c r="DJ169" s="409"/>
      <c r="DK169" s="409"/>
      <c r="DL169" s="409"/>
      <c r="DM169" s="409"/>
      <c r="DN169" s="409"/>
      <c r="DO169" s="409"/>
      <c r="DP169" s="409"/>
      <c r="DQ169" s="409"/>
      <c r="DR169" s="409"/>
      <c r="DS169" s="409"/>
      <c r="DT169" s="409"/>
      <c r="DU169" s="409"/>
      <c r="DV169" s="409"/>
      <c r="DW169" s="409"/>
      <c r="DX169" s="409"/>
      <c r="DY169" s="409"/>
      <c r="DZ169" s="409"/>
      <c r="EA169" s="409"/>
      <c r="EB169" s="409"/>
      <c r="EC169" s="409"/>
      <c r="ED169" s="409"/>
    </row>
    <row r="170" spans="1:134" ht="18" customHeight="1">
      <c r="A170" s="61"/>
      <c r="B170" s="1053"/>
      <c r="C170" s="1054"/>
      <c r="D170" s="1055"/>
      <c r="E170" s="1269"/>
      <c r="F170" s="1269"/>
      <c r="G170" s="1269"/>
      <c r="H170" s="1270"/>
      <c r="I170" s="1282" t="str">
        <f>IF(OR($E$169=$AW$189,$E$169=$AW$190,$E$169=$AW$191,$E$169=$AW$192,$E$169=$AW$193,$E$169=$AW$194,$E$169=$AW$195,$E$169=$AW$196,$E$169=$AW$197),"Kies Beleg ---&gt;","")</f>
        <v/>
      </c>
      <c r="J170" s="1282"/>
      <c r="K170" s="1282"/>
      <c r="L170" s="1282"/>
      <c r="M170" s="1283"/>
      <c r="N170" s="729"/>
      <c r="O170" s="730"/>
      <c r="P170" s="65"/>
      <c r="Q170" s="205"/>
      <c r="R170" s="213"/>
      <c r="S170" s="218"/>
      <c r="T170" s="218"/>
      <c r="U170" s="213"/>
      <c r="V170" s="218"/>
      <c r="W170" s="218"/>
      <c r="X170" s="213"/>
      <c r="Y170" s="218"/>
      <c r="Z170" s="218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12"/>
      <c r="BD170" s="205"/>
      <c r="BE170" s="65" t="s">
        <v>171</v>
      </c>
      <c r="BF170" s="65"/>
      <c r="BG170" s="65"/>
      <c r="BH170" s="65"/>
      <c r="BI170" s="65"/>
      <c r="BJ170" s="65">
        <v>7</v>
      </c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409"/>
      <c r="DH170" s="409"/>
      <c r="DI170" s="409"/>
      <c r="DJ170" s="409"/>
      <c r="DK170" s="409"/>
      <c r="DL170" s="409"/>
      <c r="DM170" s="409"/>
      <c r="DN170" s="409"/>
      <c r="DO170" s="409"/>
      <c r="DP170" s="409"/>
      <c r="DQ170" s="409"/>
      <c r="DR170" s="409"/>
      <c r="DS170" s="409"/>
      <c r="DT170" s="409"/>
      <c r="DU170" s="409"/>
      <c r="DV170" s="409"/>
      <c r="DW170" s="409"/>
      <c r="DX170" s="409"/>
      <c r="DY170" s="409"/>
      <c r="DZ170" s="409"/>
      <c r="EA170" s="409"/>
      <c r="EB170" s="409"/>
      <c r="EC170" s="409"/>
      <c r="ED170" s="409"/>
    </row>
    <row r="171" spans="1:134" ht="18" customHeight="1">
      <c r="A171" s="61"/>
      <c r="B171" s="1081" t="s">
        <v>177</v>
      </c>
      <c r="C171" s="1082"/>
      <c r="D171" s="1083"/>
      <c r="E171" s="1269"/>
      <c r="F171" s="1269"/>
      <c r="G171" s="1269"/>
      <c r="H171" s="1270"/>
      <c r="I171" s="1084" t="str">
        <f>IF(OR($E$169=$AW$189,$E$169=$AW$190,$E$169=$AW$191,$E$169=$AW$192,$E$169=$AW$193,$E$169=$AW$194,$E$169=$AW$195,$E$169=$AW$196,$E$169=$AW$197),"Kies Beleg ---&gt;","")</f>
        <v/>
      </c>
      <c r="J171" s="1085"/>
      <c r="K171" s="1085"/>
      <c r="L171" s="1085"/>
      <c r="M171" s="1086"/>
      <c r="N171" s="731"/>
      <c r="O171" s="730"/>
      <c r="P171" s="65"/>
      <c r="Q171" s="205"/>
      <c r="R171" s="213"/>
      <c r="S171" s="218"/>
      <c r="T171" s="218"/>
      <c r="U171" s="213"/>
      <c r="V171" s="218"/>
      <c r="W171" s="218"/>
      <c r="X171" s="213"/>
      <c r="Y171" s="218"/>
      <c r="Z171" s="218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 t="s">
        <v>119</v>
      </c>
      <c r="AX171" s="205"/>
      <c r="AY171" s="205"/>
      <c r="AZ171" s="205"/>
      <c r="BA171" s="205"/>
      <c r="BB171" s="205"/>
      <c r="BC171" s="212"/>
      <c r="BD171" s="205"/>
      <c r="BE171" s="65" t="s">
        <v>172</v>
      </c>
      <c r="BF171" s="65"/>
      <c r="BG171" s="65"/>
      <c r="BH171" s="65"/>
      <c r="BI171" s="65"/>
      <c r="BJ171" s="65">
        <v>8</v>
      </c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409"/>
      <c r="DH171" s="409"/>
      <c r="DI171" s="409"/>
      <c r="DJ171" s="409"/>
      <c r="DK171" s="409"/>
      <c r="DL171" s="409"/>
      <c r="DM171" s="409"/>
      <c r="DN171" s="409"/>
      <c r="DO171" s="409"/>
      <c r="DP171" s="409"/>
      <c r="DQ171" s="409"/>
      <c r="DR171" s="409"/>
      <c r="DS171" s="409"/>
      <c r="DT171" s="409"/>
      <c r="DU171" s="409"/>
      <c r="DV171" s="409"/>
      <c r="DW171" s="409"/>
      <c r="DX171" s="409"/>
      <c r="DY171" s="409"/>
      <c r="DZ171" s="409"/>
      <c r="EA171" s="409"/>
      <c r="EB171" s="409"/>
      <c r="EC171" s="409"/>
      <c r="ED171" s="409"/>
    </row>
    <row r="172" spans="1:134" ht="18" customHeight="1">
      <c r="A172" s="61"/>
      <c r="B172" s="1264" t="s">
        <v>178</v>
      </c>
      <c r="C172" s="1082"/>
      <c r="D172" s="1083"/>
      <c r="E172" s="1269"/>
      <c r="F172" s="1269"/>
      <c r="G172" s="1269"/>
      <c r="H172" s="1270"/>
      <c r="I172" s="1071" t="str">
        <f>IF(OR($E$169=$AW$190,$E$169=$AW$191,$E$169=$AW$192,$E$169=$AW$193,$E$169=$AW$194,$E$169=$AW$195,$E$169=$AW$196,$E$169=$AW$197),"Kies Beleg ---&gt;","")</f>
        <v/>
      </c>
      <c r="J172" s="1072"/>
      <c r="K172" s="1072"/>
      <c r="L172" s="1072"/>
      <c r="M172" s="1073"/>
      <c r="N172" s="731"/>
      <c r="O172" s="730"/>
      <c r="P172" s="65"/>
      <c r="Q172" s="205"/>
      <c r="R172" s="213"/>
      <c r="S172" s="218"/>
      <c r="T172" s="218"/>
      <c r="U172" s="213"/>
      <c r="V172" s="218"/>
      <c r="W172" s="218"/>
      <c r="X172" s="213"/>
      <c r="Y172" s="218"/>
      <c r="Z172" s="218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12"/>
      <c r="BD172" s="205"/>
      <c r="BE172" s="65" t="s">
        <v>173</v>
      </c>
      <c r="BF172" s="65"/>
      <c r="BG172" s="65"/>
      <c r="BH172" s="65"/>
      <c r="BI172" s="65"/>
      <c r="BJ172" s="65">
        <v>9</v>
      </c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409"/>
      <c r="DH172" s="409"/>
      <c r="DI172" s="409"/>
      <c r="DJ172" s="409"/>
      <c r="DK172" s="409"/>
      <c r="DL172" s="409"/>
      <c r="DM172" s="409"/>
      <c r="DN172" s="409"/>
      <c r="DO172" s="409"/>
      <c r="DP172" s="409"/>
      <c r="DQ172" s="409"/>
      <c r="DR172" s="409"/>
      <c r="DS172" s="409"/>
      <c r="DT172" s="409"/>
      <c r="DU172" s="409"/>
      <c r="DV172" s="409"/>
      <c r="DW172" s="409"/>
      <c r="DX172" s="409"/>
      <c r="DY172" s="409"/>
      <c r="DZ172" s="409"/>
      <c r="EA172" s="409"/>
      <c r="EB172" s="409"/>
      <c r="EC172" s="409"/>
      <c r="ED172" s="409"/>
    </row>
    <row r="173" spans="1:134" ht="18" customHeight="1">
      <c r="A173" s="61"/>
      <c r="B173" s="1081" t="s">
        <v>175</v>
      </c>
      <c r="C173" s="1082"/>
      <c r="D173" s="1083"/>
      <c r="E173" s="1269"/>
      <c r="F173" s="1269"/>
      <c r="G173" s="1269"/>
      <c r="H173" s="1270"/>
      <c r="I173" s="1084" t="str">
        <f>IF(OR($E$169=$AW$191,$E$169=$AW$192,$E$169=$AW$193,$E$169=$AW$194,$E$169=$AW$195,$E$169=$AW$196,$E$169=$AW$197),"Kies Beleg ---&gt;","")</f>
        <v/>
      </c>
      <c r="J173" s="1085"/>
      <c r="K173" s="1085"/>
      <c r="L173" s="1085"/>
      <c r="M173" s="1086"/>
      <c r="N173" s="731"/>
      <c r="O173" s="730"/>
      <c r="P173" s="65"/>
      <c r="Q173" s="205"/>
      <c r="R173" s="213"/>
      <c r="S173" s="218"/>
      <c r="T173" s="218"/>
      <c r="U173" s="213"/>
      <c r="V173" s="218"/>
      <c r="W173" s="218"/>
      <c r="X173" s="213"/>
      <c r="Y173" s="218"/>
      <c r="Z173" s="218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 t="s">
        <v>492</v>
      </c>
      <c r="AX173" s="205"/>
      <c r="AY173" s="205"/>
      <c r="AZ173" s="205"/>
      <c r="BA173" s="205"/>
      <c r="BB173" s="205"/>
      <c r="BC173" s="212">
        <f>PRIJZEN!F68</f>
        <v>40.950000000000003</v>
      </c>
      <c r="BD173" s="205"/>
      <c r="BE173" s="65" t="s">
        <v>174</v>
      </c>
      <c r="BF173" s="65"/>
      <c r="BG173" s="65"/>
      <c r="BH173" s="65"/>
      <c r="BI173" s="65"/>
      <c r="BJ173" s="65">
        <v>10</v>
      </c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409"/>
      <c r="DH173" s="409"/>
      <c r="DI173" s="409"/>
      <c r="DJ173" s="409"/>
      <c r="DK173" s="409"/>
      <c r="DL173" s="409"/>
      <c r="DM173" s="409"/>
      <c r="DN173" s="409"/>
      <c r="DO173" s="409"/>
      <c r="DP173" s="409"/>
      <c r="DQ173" s="409"/>
      <c r="DR173" s="409"/>
      <c r="DS173" s="409"/>
      <c r="DT173" s="409"/>
      <c r="DU173" s="409"/>
      <c r="DV173" s="409"/>
      <c r="DW173" s="409"/>
      <c r="DX173" s="409"/>
      <c r="DY173" s="409"/>
      <c r="DZ173" s="409"/>
      <c r="EA173" s="409"/>
      <c r="EB173" s="409"/>
      <c r="EC173" s="409"/>
      <c r="ED173" s="409"/>
    </row>
    <row r="174" spans="1:134" ht="18" customHeight="1">
      <c r="A174" s="61"/>
      <c r="B174" s="1074" t="s">
        <v>179</v>
      </c>
      <c r="C174" s="1075"/>
      <c r="D174" s="1076"/>
      <c r="E174" s="1269"/>
      <c r="F174" s="1269"/>
      <c r="G174" s="1269"/>
      <c r="H174" s="1270"/>
      <c r="I174" s="1282" t="str">
        <f>IF(OR($E$169=$AW$192,$E$169=$AW$193,$E$169=$AW$194,$E$169=$AW$195,$E$169=$AW$196,$E$169=$AW$197),"Kies Beleg ---&gt;","")</f>
        <v/>
      </c>
      <c r="J174" s="1282"/>
      <c r="K174" s="1282"/>
      <c r="L174" s="1282"/>
      <c r="M174" s="1283"/>
      <c r="N174" s="731"/>
      <c r="O174" s="730"/>
      <c r="P174" s="65"/>
      <c r="Q174" s="205"/>
      <c r="R174" s="213"/>
      <c r="S174" s="218"/>
      <c r="T174" s="218"/>
      <c r="U174" s="213"/>
      <c r="V174" s="218"/>
      <c r="W174" s="218"/>
      <c r="X174" s="213"/>
      <c r="Y174" s="218"/>
      <c r="Z174" s="218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 t="s">
        <v>493</v>
      </c>
      <c r="AX174" s="205"/>
      <c r="AY174" s="205"/>
      <c r="AZ174" s="205"/>
      <c r="BA174" s="205"/>
      <c r="BB174" s="205"/>
      <c r="BC174" s="212">
        <f>PRIJZEN!F69</f>
        <v>20.95</v>
      </c>
      <c r="BD174" s="205"/>
      <c r="BE174" s="65" t="s">
        <v>506</v>
      </c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409"/>
      <c r="DH174" s="409"/>
      <c r="DI174" s="409"/>
      <c r="DJ174" s="409"/>
      <c r="DK174" s="409"/>
      <c r="DL174" s="409"/>
      <c r="DM174" s="409"/>
      <c r="DN174" s="409"/>
      <c r="DO174" s="409"/>
      <c r="DP174" s="409"/>
      <c r="DQ174" s="409"/>
      <c r="DR174" s="409"/>
      <c r="DS174" s="409"/>
      <c r="DT174" s="409"/>
      <c r="DU174" s="409"/>
      <c r="DV174" s="409"/>
      <c r="DW174" s="409"/>
      <c r="DX174" s="409"/>
      <c r="DY174" s="409"/>
      <c r="DZ174" s="409"/>
      <c r="EA174" s="409"/>
      <c r="EB174" s="409"/>
      <c r="EC174" s="409"/>
      <c r="ED174" s="409"/>
    </row>
    <row r="175" spans="1:134" ht="18" customHeight="1">
      <c r="A175" s="61"/>
      <c r="B175" s="1264" t="s">
        <v>176</v>
      </c>
      <c r="C175" s="1082"/>
      <c r="D175" s="1083"/>
      <c r="E175" s="1269"/>
      <c r="F175" s="1269"/>
      <c r="G175" s="1269"/>
      <c r="H175" s="1270"/>
      <c r="I175" s="1071" t="str">
        <f>IF(OR($E$169=$AW$193,$E$169=$AW$194,$E$169=$AW$195,$E$169=$AW$196,$E$169=$AW$197),"Kies Beleg ---&gt;","")</f>
        <v/>
      </c>
      <c r="J175" s="1072"/>
      <c r="K175" s="1072"/>
      <c r="L175" s="1072"/>
      <c r="M175" s="1073"/>
      <c r="N175" s="731"/>
      <c r="O175" s="730"/>
      <c r="P175" s="65"/>
      <c r="Q175" s="205"/>
      <c r="R175" s="213"/>
      <c r="S175" s="218"/>
      <c r="T175" s="218"/>
      <c r="U175" s="213"/>
      <c r="V175" s="218"/>
      <c r="W175" s="218"/>
      <c r="X175" s="213"/>
      <c r="Y175" s="218"/>
      <c r="Z175" s="218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12"/>
      <c r="BD175" s="20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409"/>
      <c r="DH175" s="409"/>
      <c r="DI175" s="409"/>
      <c r="DJ175" s="409"/>
      <c r="DK175" s="409"/>
      <c r="DL175" s="409"/>
      <c r="DM175" s="409"/>
      <c r="DN175" s="409"/>
      <c r="DO175" s="409"/>
      <c r="DP175" s="409"/>
      <c r="DQ175" s="409"/>
      <c r="DR175" s="409"/>
      <c r="DS175" s="409"/>
      <c r="DT175" s="409"/>
      <c r="DU175" s="409"/>
      <c r="DV175" s="409"/>
      <c r="DW175" s="409"/>
      <c r="DX175" s="409"/>
      <c r="DY175" s="409"/>
      <c r="DZ175" s="409"/>
      <c r="EA175" s="409"/>
      <c r="EB175" s="409"/>
      <c r="EC175" s="409"/>
      <c r="ED175" s="409"/>
    </row>
    <row r="176" spans="1:134" ht="18" customHeight="1">
      <c r="A176" s="61"/>
      <c r="B176" s="1081"/>
      <c r="C176" s="1082"/>
      <c r="D176" s="1083"/>
      <c r="E176" s="1269"/>
      <c r="F176" s="1269"/>
      <c r="G176" s="1269"/>
      <c r="H176" s="1270"/>
      <c r="I176" s="1071" t="str">
        <f>IF(OR($E$169=$AW$194,$E$169=$AW$195,$E$169=$AW$196,$E$169=$AW$197),"Kies Beleg ---&gt;","")</f>
        <v/>
      </c>
      <c r="J176" s="1072"/>
      <c r="K176" s="1072"/>
      <c r="L176" s="1072"/>
      <c r="M176" s="1073"/>
      <c r="N176" s="731"/>
      <c r="O176" s="730"/>
      <c r="P176" s="65"/>
      <c r="Q176" s="205"/>
      <c r="R176" s="213"/>
      <c r="S176" s="218"/>
      <c r="T176" s="218"/>
      <c r="U176" s="213"/>
      <c r="V176" s="218"/>
      <c r="W176" s="218"/>
      <c r="X176" s="213"/>
      <c r="Y176" s="218"/>
      <c r="Z176" s="218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 t="s">
        <v>494</v>
      </c>
      <c r="AX176" s="205"/>
      <c r="AY176" s="205"/>
      <c r="AZ176" s="205"/>
      <c r="BA176" s="205"/>
      <c r="BB176" s="205"/>
      <c r="BC176" s="212"/>
      <c r="BD176" s="20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409"/>
      <c r="DH176" s="409"/>
      <c r="DI176" s="409"/>
      <c r="DJ176" s="409"/>
      <c r="DK176" s="409"/>
      <c r="DL176" s="409"/>
      <c r="DM176" s="409"/>
      <c r="DN176" s="409"/>
      <c r="DO176" s="409"/>
      <c r="DP176" s="409"/>
      <c r="DQ176" s="409"/>
      <c r="DR176" s="409"/>
      <c r="DS176" s="409"/>
      <c r="DT176" s="409"/>
      <c r="DU176" s="409"/>
      <c r="DV176" s="409"/>
      <c r="DW176" s="409"/>
      <c r="DX176" s="409"/>
      <c r="DY176" s="409"/>
      <c r="DZ176" s="409"/>
      <c r="EA176" s="409"/>
      <c r="EB176" s="409"/>
      <c r="EC176" s="409"/>
      <c r="ED176" s="409"/>
    </row>
    <row r="177" spans="1:134" ht="18" customHeight="1">
      <c r="A177" s="61"/>
      <c r="B177" s="151"/>
      <c r="C177" s="152"/>
      <c r="D177" s="153"/>
      <c r="E177" s="1269"/>
      <c r="F177" s="1269"/>
      <c r="G177" s="1269"/>
      <c r="H177" s="1270"/>
      <c r="I177" s="1084" t="str">
        <f>IF(OR($E$169=$AW$195,$E$169=$AW$196,$E$169=$AW$197),"Kies Beleg ---&gt;","")</f>
        <v/>
      </c>
      <c r="J177" s="1085"/>
      <c r="K177" s="1085"/>
      <c r="L177" s="1085"/>
      <c r="M177" s="1086"/>
      <c r="N177" s="731"/>
      <c r="O177" s="730"/>
      <c r="P177" s="65"/>
      <c r="Q177" s="205"/>
      <c r="R177" s="213"/>
      <c r="S177" s="218"/>
      <c r="T177" s="218"/>
      <c r="U177" s="213"/>
      <c r="V177" s="218"/>
      <c r="W177" s="218"/>
      <c r="X177" s="213"/>
      <c r="Y177" s="218"/>
      <c r="Z177" s="218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12"/>
      <c r="BD177" s="205"/>
      <c r="BE177" s="219" t="s">
        <v>217</v>
      </c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409"/>
      <c r="DH177" s="409"/>
      <c r="DI177" s="409"/>
      <c r="DJ177" s="409"/>
      <c r="DK177" s="409"/>
      <c r="DL177" s="409"/>
      <c r="DM177" s="409"/>
      <c r="DN177" s="409"/>
      <c r="DO177" s="409"/>
      <c r="DP177" s="409"/>
      <c r="DQ177" s="409"/>
      <c r="DR177" s="409"/>
      <c r="DS177" s="409"/>
      <c r="DT177" s="409"/>
      <c r="DU177" s="409"/>
      <c r="DV177" s="409"/>
      <c r="DW177" s="409"/>
      <c r="DX177" s="409"/>
      <c r="DY177" s="409"/>
      <c r="DZ177" s="409"/>
      <c r="EA177" s="409"/>
      <c r="EB177" s="409"/>
      <c r="EC177" s="409"/>
      <c r="ED177" s="409"/>
    </row>
    <row r="178" spans="1:134" ht="18" customHeight="1">
      <c r="A178" s="61"/>
      <c r="B178" s="151"/>
      <c r="C178" s="152"/>
      <c r="D178" s="153"/>
      <c r="E178" s="1269"/>
      <c r="F178" s="1269"/>
      <c r="G178" s="1269"/>
      <c r="H178" s="1270"/>
      <c r="I178" s="1084" t="str">
        <f>IF(OR($E$169=$AW$196,$E$169=$AW$197),"Kies Beleg ---&gt;","")</f>
        <v/>
      </c>
      <c r="J178" s="1085"/>
      <c r="K178" s="1085"/>
      <c r="L178" s="1085"/>
      <c r="M178" s="1086"/>
      <c r="N178" s="731"/>
      <c r="O178" s="730"/>
      <c r="P178" s="65"/>
      <c r="Q178" s="205"/>
      <c r="R178" s="213"/>
      <c r="S178" s="218"/>
      <c r="T178" s="218"/>
      <c r="U178" s="213"/>
      <c r="V178" s="218"/>
      <c r="W178" s="218"/>
      <c r="X178" s="213"/>
      <c r="Y178" s="218"/>
      <c r="Z178" s="218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 t="s">
        <v>495</v>
      </c>
      <c r="AX178" s="205"/>
      <c r="AY178" s="205"/>
      <c r="AZ178" s="205"/>
      <c r="BA178" s="205"/>
      <c r="BB178" s="205"/>
      <c r="BC178" s="212">
        <f>PRIJZEN!F45</f>
        <v>50.5</v>
      </c>
      <c r="BD178" s="20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65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409"/>
      <c r="DH178" s="409"/>
      <c r="DI178" s="409"/>
      <c r="DJ178" s="409"/>
      <c r="DK178" s="409"/>
      <c r="DL178" s="409"/>
      <c r="DM178" s="409"/>
      <c r="DN178" s="409"/>
      <c r="DO178" s="409"/>
      <c r="DP178" s="409"/>
      <c r="DQ178" s="409"/>
      <c r="DR178" s="409"/>
      <c r="DS178" s="409"/>
      <c r="DT178" s="409"/>
      <c r="DU178" s="409"/>
      <c r="DV178" s="409"/>
      <c r="DW178" s="409"/>
      <c r="DX178" s="409"/>
      <c r="DY178" s="409"/>
      <c r="DZ178" s="409"/>
      <c r="EA178" s="409"/>
      <c r="EB178" s="409"/>
      <c r="EC178" s="409"/>
      <c r="ED178" s="409"/>
    </row>
    <row r="179" spans="1:134" ht="18" customHeight="1">
      <c r="A179" s="61"/>
      <c r="B179" s="151"/>
      <c r="C179" s="152"/>
      <c r="D179" s="153"/>
      <c r="E179" s="1269"/>
      <c r="F179" s="1269"/>
      <c r="G179" s="1269"/>
      <c r="H179" s="1270"/>
      <c r="I179" s="1277" t="str">
        <f>IF(OR($E$169=$AW$197),"Kies Beleg ---&gt;","")</f>
        <v/>
      </c>
      <c r="J179" s="1277"/>
      <c r="K179" s="1277"/>
      <c r="L179" s="1277"/>
      <c r="M179" s="1278"/>
      <c r="N179" s="731"/>
      <c r="O179" s="730"/>
      <c r="P179" s="65"/>
      <c r="Q179" s="205"/>
      <c r="R179" s="213"/>
      <c r="S179" s="218"/>
      <c r="T179" s="218"/>
      <c r="U179" s="213"/>
      <c r="V179" s="218"/>
      <c r="W179" s="218"/>
      <c r="X179" s="213"/>
      <c r="Y179" s="218"/>
      <c r="Z179" s="218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 t="s">
        <v>496</v>
      </c>
      <c r="AX179" s="205"/>
      <c r="AY179" s="205"/>
      <c r="AZ179" s="205"/>
      <c r="BA179" s="205"/>
      <c r="BB179" s="205"/>
      <c r="BC179" s="212">
        <f>PRIJZEN!F46</f>
        <v>52.5</v>
      </c>
      <c r="BD179" s="205"/>
      <c r="BE179" s="65" t="s">
        <v>512</v>
      </c>
      <c r="BF179" s="65"/>
      <c r="BG179" s="65"/>
      <c r="BH179" s="65"/>
      <c r="BI179" s="369">
        <f>PRIJZEN!I5</f>
        <v>16.8</v>
      </c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65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1"/>
      <c r="DF179" s="91"/>
      <c r="DG179" s="409"/>
      <c r="DH179" s="409"/>
      <c r="DI179" s="409"/>
      <c r="DJ179" s="409"/>
      <c r="DK179" s="409"/>
      <c r="DL179" s="409"/>
      <c r="DM179" s="409"/>
      <c r="DN179" s="409"/>
      <c r="DO179" s="409"/>
      <c r="DP179" s="409"/>
      <c r="DQ179" s="409"/>
      <c r="DR179" s="409"/>
      <c r="DS179" s="409"/>
      <c r="DT179" s="409"/>
      <c r="DU179" s="409"/>
      <c r="DV179" s="409"/>
      <c r="DW179" s="409"/>
      <c r="DX179" s="409"/>
      <c r="DY179" s="409"/>
      <c r="DZ179" s="409"/>
      <c r="EA179" s="409"/>
      <c r="EB179" s="409"/>
      <c r="EC179" s="409"/>
      <c r="ED179" s="409"/>
    </row>
    <row r="180" spans="1:134" ht="21.9" customHeight="1">
      <c r="A180" s="61"/>
      <c r="B180" s="714" t="s">
        <v>164</v>
      </c>
      <c r="C180" s="1069" t="s">
        <v>165</v>
      </c>
      <c r="D180" s="1069"/>
      <c r="E180" s="1069"/>
      <c r="F180" s="1069"/>
      <c r="G180" s="1069"/>
      <c r="H180" s="1069"/>
      <c r="I180" s="1069"/>
      <c r="J180" s="1069"/>
      <c r="K180" s="1069"/>
      <c r="L180" s="1069"/>
      <c r="M180" s="1069"/>
      <c r="N180" s="1069"/>
      <c r="O180" s="1070"/>
      <c r="P180" s="187"/>
      <c r="Q180" s="205"/>
      <c r="R180" s="213"/>
      <c r="S180" s="218"/>
      <c r="T180" s="218"/>
      <c r="U180" s="213"/>
      <c r="V180" s="218"/>
      <c r="W180" s="218"/>
      <c r="X180" s="213"/>
      <c r="Y180" s="218"/>
      <c r="Z180" s="218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 t="s">
        <v>497</v>
      </c>
      <c r="AX180" s="205"/>
      <c r="AY180" s="205"/>
      <c r="AZ180" s="205"/>
      <c r="BA180" s="205"/>
      <c r="BB180" s="205"/>
      <c r="BC180" s="212">
        <f>PRIJZEN!F47</f>
        <v>57.5</v>
      </c>
      <c r="BD180" s="205"/>
      <c r="BE180" s="65" t="s">
        <v>511</v>
      </c>
      <c r="BF180" s="65"/>
      <c r="BG180" s="65"/>
      <c r="BH180" s="65"/>
      <c r="BI180" s="369">
        <f>PRIJZEN!I6</f>
        <v>17.55</v>
      </c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1"/>
      <c r="DF180" s="91"/>
      <c r="DG180" s="409"/>
      <c r="DH180" s="409"/>
      <c r="DI180" s="409"/>
      <c r="DJ180" s="409"/>
      <c r="DK180" s="409"/>
      <c r="DL180" s="409"/>
      <c r="DM180" s="409"/>
      <c r="DN180" s="409"/>
      <c r="DO180" s="409"/>
      <c r="DP180" s="409"/>
      <c r="DQ180" s="409"/>
      <c r="DR180" s="409"/>
      <c r="DS180" s="409"/>
      <c r="DT180" s="409"/>
      <c r="DU180" s="409"/>
      <c r="DV180" s="409"/>
      <c r="DW180" s="409"/>
      <c r="DX180" s="409"/>
      <c r="DY180" s="409"/>
      <c r="DZ180" s="409"/>
      <c r="EA180" s="409"/>
      <c r="EB180" s="409"/>
      <c r="EC180" s="409"/>
      <c r="ED180" s="409"/>
    </row>
    <row r="181" spans="1:134" ht="18" customHeight="1">
      <c r="A181" s="61"/>
      <c r="B181" s="1053" t="s">
        <v>279</v>
      </c>
      <c r="C181" s="1054"/>
      <c r="D181" s="1055"/>
      <c r="E181" s="1064" t="s">
        <v>119</v>
      </c>
      <c r="F181" s="1065"/>
      <c r="G181" s="1065"/>
      <c r="H181" s="1065"/>
      <c r="I181" s="1066"/>
      <c r="J181" s="1064" t="s">
        <v>120</v>
      </c>
      <c r="K181" s="1065"/>
      <c r="L181" s="1065"/>
      <c r="M181" s="1066"/>
      <c r="N181" s="1062" t="str">
        <f>IF(OR(E181="klik &amp; kies schotel ---&gt;",J181="klik &amp; kies aantal schotels ---&gt;"),"",SUM(Q181:U181))</f>
        <v/>
      </c>
      <c r="O181" s="1063"/>
      <c r="P181" s="359"/>
      <c r="Q181" s="216">
        <f>IF($E181=$AW$173,$J181*$BC$173,0)</f>
        <v>0</v>
      </c>
      <c r="R181" s="216">
        <f>IF($E181=$AW$174,$J181*$BC$174,0)</f>
        <v>0</v>
      </c>
      <c r="S181" s="216"/>
      <c r="T181" s="216"/>
      <c r="U181" s="216"/>
      <c r="V181" s="218"/>
      <c r="W181" s="218"/>
      <c r="X181" s="213"/>
      <c r="Y181" s="218"/>
      <c r="Z181" s="218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 t="s">
        <v>498</v>
      </c>
      <c r="AX181" s="205"/>
      <c r="AY181" s="205"/>
      <c r="AZ181" s="205"/>
      <c r="BA181" s="205"/>
      <c r="BB181" s="205"/>
      <c r="BC181" s="212">
        <f>PRIJZEN!F48</f>
        <v>50.5</v>
      </c>
      <c r="BD181" s="205"/>
      <c r="BE181" s="65" t="s">
        <v>513</v>
      </c>
      <c r="BF181" s="65"/>
      <c r="BG181" s="65"/>
      <c r="BH181" s="65"/>
      <c r="BI181" s="369">
        <f>PRIJZEN!I7</f>
        <v>19.05</v>
      </c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1"/>
      <c r="DF181" s="91"/>
      <c r="DG181" s="409"/>
      <c r="DH181" s="409"/>
      <c r="DI181" s="409"/>
      <c r="DJ181" s="409"/>
      <c r="DK181" s="409"/>
      <c r="DL181" s="409"/>
      <c r="DM181" s="409"/>
      <c r="DN181" s="409"/>
      <c r="DO181" s="409"/>
      <c r="DP181" s="409"/>
      <c r="DQ181" s="409"/>
      <c r="DR181" s="409"/>
      <c r="DS181" s="409"/>
      <c r="DT181" s="409"/>
      <c r="DU181" s="409"/>
      <c r="DV181" s="409"/>
      <c r="DW181" s="409"/>
      <c r="DX181" s="409"/>
      <c r="DY181" s="409"/>
      <c r="DZ181" s="409"/>
      <c r="EA181" s="409"/>
      <c r="EB181" s="409"/>
      <c r="EC181" s="409"/>
      <c r="ED181" s="409"/>
    </row>
    <row r="182" spans="1:134" ht="18" customHeight="1">
      <c r="A182" s="61"/>
      <c r="B182" s="1077"/>
      <c r="C182" s="1078"/>
      <c r="D182" s="1079"/>
      <c r="E182" s="1064" t="s">
        <v>119</v>
      </c>
      <c r="F182" s="1065"/>
      <c r="G182" s="1065"/>
      <c r="H182" s="1065"/>
      <c r="I182" s="1066"/>
      <c r="J182" s="1064" t="s">
        <v>120</v>
      </c>
      <c r="K182" s="1065"/>
      <c r="L182" s="1065"/>
      <c r="M182" s="1066"/>
      <c r="N182" s="1067" t="str">
        <f>IF(OR(E182="klik &amp; kies schotel ---&gt;",J182="klik &amp; kies aantal schotels ---&gt;"),"",SUM(Q182:U182))</f>
        <v/>
      </c>
      <c r="O182" s="1068"/>
      <c r="P182" s="359"/>
      <c r="Q182" s="216">
        <f>IF($E182=$AW$173,$J182*$BC$173,0)</f>
        <v>0</v>
      </c>
      <c r="R182" s="216">
        <f>IF($E182=$AW$174,$J182*$BC$174,0)</f>
        <v>0</v>
      </c>
      <c r="S182" s="216"/>
      <c r="T182" s="216"/>
      <c r="U182" s="216"/>
      <c r="V182" s="218"/>
      <c r="W182" s="218"/>
      <c r="X182" s="213"/>
      <c r="Y182" s="218"/>
      <c r="Z182" s="218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 t="s">
        <v>499</v>
      </c>
      <c r="AX182" s="205"/>
      <c r="AY182" s="205"/>
      <c r="AZ182" s="205"/>
      <c r="BA182" s="205"/>
      <c r="BB182" s="205"/>
      <c r="BC182" s="212">
        <f>PRIJZEN!F49</f>
        <v>52.5</v>
      </c>
      <c r="BD182" s="205"/>
      <c r="BE182" s="65" t="s">
        <v>514</v>
      </c>
      <c r="BF182" s="65"/>
      <c r="BG182" s="65"/>
      <c r="BH182" s="65"/>
      <c r="BI182" s="369">
        <f>PRIJZEN!I8</f>
        <v>20.25</v>
      </c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1"/>
      <c r="DF182" s="91"/>
      <c r="DG182" s="409"/>
      <c r="DH182" s="409"/>
      <c r="DI182" s="409"/>
      <c r="DJ182" s="409"/>
      <c r="DK182" s="409"/>
      <c r="DL182" s="409"/>
      <c r="DM182" s="409"/>
      <c r="DN182" s="409"/>
      <c r="DO182" s="409"/>
      <c r="DP182" s="409"/>
      <c r="DQ182" s="409"/>
      <c r="DR182" s="409"/>
      <c r="DS182" s="409"/>
      <c r="DT182" s="409"/>
      <c r="DU182" s="409"/>
      <c r="DV182" s="409"/>
      <c r="DW182" s="409"/>
      <c r="DX182" s="409"/>
      <c r="DY182" s="409"/>
      <c r="DZ182" s="409"/>
      <c r="EA182" s="409"/>
      <c r="EB182" s="409"/>
      <c r="EC182" s="409"/>
      <c r="ED182" s="409"/>
    </row>
    <row r="183" spans="1:134" ht="21.9" customHeight="1">
      <c r="A183" s="61"/>
      <c r="B183" s="732"/>
      <c r="C183" s="1297" t="s">
        <v>429</v>
      </c>
      <c r="D183" s="1297"/>
      <c r="E183" s="1297"/>
      <c r="F183" s="1297"/>
      <c r="G183" s="1297"/>
      <c r="H183" s="1297"/>
      <c r="I183" s="1297"/>
      <c r="J183" s="1297"/>
      <c r="K183" s="1297"/>
      <c r="L183" s="1297"/>
      <c r="M183" s="1297"/>
      <c r="N183" s="1297"/>
      <c r="O183" s="1298"/>
      <c r="P183" s="187"/>
      <c r="Q183" s="205"/>
      <c r="R183" s="202"/>
      <c r="S183" s="202"/>
      <c r="T183" s="202"/>
      <c r="U183" s="202"/>
      <c r="V183" s="205"/>
      <c r="W183" s="205"/>
      <c r="X183" s="202"/>
      <c r="Y183" s="205"/>
      <c r="Z183" s="205"/>
      <c r="AA183" s="205"/>
      <c r="AB183" s="205"/>
      <c r="AC183" s="205"/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 t="s">
        <v>500</v>
      </c>
      <c r="AX183" s="205"/>
      <c r="AY183" s="205"/>
      <c r="AZ183" s="205"/>
      <c r="BA183" s="205"/>
      <c r="BB183" s="205"/>
      <c r="BC183" s="212">
        <f>PRIJZEN!F50</f>
        <v>19.95</v>
      </c>
      <c r="BD183" s="20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1"/>
      <c r="DF183" s="91"/>
      <c r="DG183" s="409"/>
      <c r="DH183" s="409"/>
      <c r="DI183" s="409"/>
      <c r="DJ183" s="409"/>
      <c r="DK183" s="409"/>
      <c r="DL183" s="409"/>
      <c r="DM183" s="409"/>
      <c r="DN183" s="409"/>
      <c r="DO183" s="409"/>
      <c r="DP183" s="409"/>
      <c r="DQ183" s="409"/>
      <c r="DR183" s="409"/>
      <c r="DS183" s="409"/>
      <c r="DT183" s="409"/>
      <c r="DU183" s="409"/>
      <c r="DV183" s="409"/>
      <c r="DW183" s="409"/>
      <c r="DX183" s="409"/>
      <c r="DY183" s="409"/>
      <c r="DZ183" s="409"/>
      <c r="EA183" s="409"/>
      <c r="EB183" s="409"/>
      <c r="EC183" s="409"/>
      <c r="ED183" s="409"/>
    </row>
    <row r="184" spans="1:134" ht="19.3">
      <c r="A184" s="61"/>
      <c r="B184" s="813"/>
      <c r="C184" s="1299"/>
      <c r="D184" s="1299"/>
      <c r="E184" s="1299"/>
      <c r="F184" s="1299"/>
      <c r="G184" s="1299"/>
      <c r="H184" s="1299"/>
      <c r="I184" s="1299"/>
      <c r="J184" s="1299"/>
      <c r="K184" s="1299"/>
      <c r="L184" s="1299"/>
      <c r="M184" s="1299"/>
      <c r="N184" s="1299"/>
      <c r="O184" s="1300"/>
      <c r="P184" s="359"/>
      <c r="Q184" s="1284"/>
      <c r="R184" s="1284"/>
      <c r="S184" s="202"/>
      <c r="T184" s="202"/>
      <c r="U184" s="202"/>
      <c r="V184" s="205"/>
      <c r="W184" s="205"/>
      <c r="X184" s="202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 t="s">
        <v>501</v>
      </c>
      <c r="AX184" s="205"/>
      <c r="AY184" s="205"/>
      <c r="AZ184" s="205"/>
      <c r="BA184" s="205"/>
      <c r="BB184" s="205"/>
      <c r="BC184" s="212">
        <f>PRIJZEN!F51</f>
        <v>20.95</v>
      </c>
      <c r="BD184" s="20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65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1"/>
      <c r="DF184" s="91"/>
      <c r="DG184" s="409"/>
      <c r="DH184" s="409"/>
      <c r="DI184" s="409"/>
      <c r="DJ184" s="409"/>
      <c r="DK184" s="409"/>
      <c r="DL184" s="409"/>
      <c r="DM184" s="409"/>
      <c r="DN184" s="409"/>
      <c r="DO184" s="409"/>
      <c r="DP184" s="409"/>
      <c r="DQ184" s="409"/>
      <c r="DR184" s="409"/>
      <c r="DS184" s="409"/>
      <c r="DT184" s="409"/>
      <c r="DU184" s="409"/>
      <c r="DV184" s="409"/>
      <c r="DW184" s="409"/>
      <c r="DX184" s="409"/>
      <c r="DY184" s="409"/>
      <c r="DZ184" s="409"/>
      <c r="EA184" s="409"/>
      <c r="EB184" s="409"/>
      <c r="EC184" s="409"/>
      <c r="ED184" s="409"/>
    </row>
    <row r="185" spans="1:134" ht="21.9" customHeight="1">
      <c r="A185" s="61"/>
      <c r="B185" s="299" t="s">
        <v>258</v>
      </c>
      <c r="C185" s="1301"/>
      <c r="D185" s="1301"/>
      <c r="E185" s="1301"/>
      <c r="F185" s="1301"/>
      <c r="G185" s="1301"/>
      <c r="H185" s="1301"/>
      <c r="I185" s="1301"/>
      <c r="J185" s="1301"/>
      <c r="K185" s="1301"/>
      <c r="L185" s="1301"/>
      <c r="M185" s="1301"/>
      <c r="N185" s="1301"/>
      <c r="O185" s="1302"/>
      <c r="P185" s="189"/>
      <c r="Q185" s="205"/>
      <c r="R185" s="202"/>
      <c r="S185" s="202"/>
      <c r="T185" s="202"/>
      <c r="U185" s="202"/>
      <c r="V185" s="205"/>
      <c r="W185" s="205"/>
      <c r="X185" s="202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 t="s">
        <v>502</v>
      </c>
      <c r="AX185" s="205"/>
      <c r="AY185" s="205"/>
      <c r="AZ185" s="205"/>
      <c r="BA185" s="205"/>
      <c r="BB185" s="205"/>
      <c r="BC185" s="212">
        <f>PRIJZEN!F52</f>
        <v>23.5</v>
      </c>
      <c r="BD185" s="205"/>
      <c r="BE185" s="219" t="s">
        <v>218</v>
      </c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1"/>
      <c r="DF185" s="91"/>
      <c r="DG185" s="409"/>
      <c r="DH185" s="409"/>
      <c r="DI185" s="409"/>
      <c r="DJ185" s="409"/>
      <c r="DK185" s="409"/>
      <c r="DL185" s="409"/>
      <c r="DM185" s="409"/>
      <c r="DN185" s="409"/>
      <c r="DO185" s="409"/>
      <c r="DP185" s="409"/>
      <c r="DQ185" s="409"/>
      <c r="DR185" s="409"/>
      <c r="DS185" s="409"/>
      <c r="DT185" s="409"/>
      <c r="DU185" s="409"/>
      <c r="DV185" s="409"/>
      <c r="DW185" s="409"/>
      <c r="DX185" s="409"/>
      <c r="DY185" s="409"/>
      <c r="DZ185" s="409"/>
      <c r="EA185" s="409"/>
      <c r="EB185" s="409"/>
      <c r="EC185" s="409"/>
      <c r="ED185" s="409"/>
    </row>
    <row r="186" spans="1:134" ht="23.05" customHeight="1">
      <c r="A186" s="63"/>
      <c r="B186" s="1164" t="s">
        <v>549</v>
      </c>
      <c r="C186" s="1165"/>
      <c r="D186" s="1165"/>
      <c r="E186" s="1165"/>
      <c r="F186" s="1165"/>
      <c r="G186" s="1165"/>
      <c r="H186" s="1165"/>
      <c r="I186" s="1165"/>
      <c r="J186" s="1165"/>
      <c r="K186" s="1165"/>
      <c r="L186" s="1165"/>
      <c r="M186" s="1166"/>
      <c r="N186" s="1051" t="s">
        <v>240</v>
      </c>
      <c r="O186" s="1052"/>
      <c r="P186" s="821" t="s">
        <v>241</v>
      </c>
      <c r="Q186" s="65"/>
      <c r="R186" s="202"/>
      <c r="S186" s="202"/>
      <c r="T186" s="202"/>
      <c r="U186" s="202"/>
      <c r="V186" s="205"/>
      <c r="W186" s="205"/>
      <c r="X186" s="202"/>
      <c r="Y186" s="205"/>
      <c r="Z186" s="205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 t="s">
        <v>503</v>
      </c>
      <c r="AX186" s="205"/>
      <c r="AY186" s="205"/>
      <c r="AZ186" s="205"/>
      <c r="BA186" s="205"/>
      <c r="BB186" s="205"/>
      <c r="BC186" s="212">
        <f>PRIJZEN!F53</f>
        <v>19.95</v>
      </c>
      <c r="BD186" s="20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1"/>
      <c r="DF186" s="91"/>
      <c r="DG186" s="409"/>
      <c r="DH186" s="409"/>
      <c r="DI186" s="409"/>
      <c r="DJ186" s="409"/>
      <c r="DK186" s="409"/>
      <c r="DL186" s="409"/>
      <c r="DM186" s="409"/>
      <c r="DN186" s="409"/>
      <c r="DO186" s="409"/>
      <c r="DP186" s="409"/>
      <c r="DQ186" s="409"/>
      <c r="DR186" s="409"/>
      <c r="DS186" s="409"/>
      <c r="DT186" s="409"/>
      <c r="DU186" s="409"/>
      <c r="DV186" s="409"/>
      <c r="DW186" s="409"/>
      <c r="DX186" s="409"/>
      <c r="DY186" s="409"/>
      <c r="DZ186" s="409"/>
      <c r="EA186" s="409"/>
      <c r="EB186" s="409"/>
      <c r="EC186" s="409"/>
      <c r="ED186" s="409"/>
    </row>
    <row r="187" spans="1:134" ht="23.05" customHeight="1">
      <c r="A187" s="63"/>
      <c r="B187" s="1314" t="s">
        <v>550</v>
      </c>
      <c r="C187" s="1315"/>
      <c r="D187" s="1315"/>
      <c r="E187" s="1315"/>
      <c r="F187" s="1315"/>
      <c r="G187" s="1315"/>
      <c r="H187" s="1315"/>
      <c r="I187" s="1315"/>
      <c r="J187" s="1315"/>
      <c r="K187" s="1315"/>
      <c r="L187" s="1315"/>
      <c r="M187" s="1316"/>
      <c r="N187" s="1159" t="s">
        <v>242</v>
      </c>
      <c r="O187" s="1160"/>
      <c r="P187" s="822" t="s">
        <v>243</v>
      </c>
      <c r="Q187" s="219"/>
      <c r="R187" s="202"/>
      <c r="S187" s="202"/>
      <c r="T187" s="202"/>
      <c r="U187" s="202"/>
      <c r="V187" s="205"/>
      <c r="W187" s="205"/>
      <c r="X187" s="202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  <c r="AT187" s="205"/>
      <c r="AU187" s="205"/>
      <c r="AV187" s="205"/>
      <c r="AW187" s="205" t="s">
        <v>504</v>
      </c>
      <c r="AX187" s="205"/>
      <c r="AY187" s="205"/>
      <c r="AZ187" s="205"/>
      <c r="BA187" s="205"/>
      <c r="BB187" s="205"/>
      <c r="BC187" s="212">
        <f>PRIJZEN!F54</f>
        <v>20.95</v>
      </c>
      <c r="BD187" s="205"/>
      <c r="BE187" s="65" t="s">
        <v>671</v>
      </c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1"/>
      <c r="DF187" s="91"/>
      <c r="DG187" s="409"/>
      <c r="DH187" s="409"/>
      <c r="DI187" s="409"/>
      <c r="DJ187" s="409"/>
      <c r="DK187" s="409"/>
      <c r="DL187" s="409"/>
      <c r="DM187" s="409"/>
      <c r="DN187" s="409"/>
      <c r="DO187" s="409"/>
      <c r="DP187" s="409"/>
      <c r="DQ187" s="409"/>
      <c r="DR187" s="409"/>
      <c r="DS187" s="409"/>
      <c r="DT187" s="409"/>
      <c r="DU187" s="409"/>
      <c r="DV187" s="409"/>
      <c r="DW187" s="409"/>
      <c r="DX187" s="409"/>
      <c r="DY187" s="409"/>
      <c r="DZ187" s="409"/>
      <c r="EA187" s="409"/>
      <c r="EB187" s="409"/>
      <c r="EC187" s="409"/>
      <c r="ED187" s="409"/>
    </row>
    <row r="188" spans="1:134" ht="23.05" customHeight="1">
      <c r="A188" s="61"/>
      <c r="B188" s="1312" t="s">
        <v>200</v>
      </c>
      <c r="C188" s="155" t="s">
        <v>201</v>
      </c>
      <c r="D188" s="1309" t="s">
        <v>217</v>
      </c>
      <c r="E188" s="1310"/>
      <c r="F188" s="1310"/>
      <c r="G188" s="1310"/>
      <c r="H188" s="1311"/>
      <c r="I188" s="1306" t="s">
        <v>218</v>
      </c>
      <c r="J188" s="1307"/>
      <c r="K188" s="1307"/>
      <c r="L188" s="1307"/>
      <c r="M188" s="1308"/>
      <c r="N188" s="1161" t="str">
        <f>IF(OR(D188="klik &amp; kies broodsoort",I188="klik &amp; kies beleg"),"",SUM(Q188:Z188))</f>
        <v/>
      </c>
      <c r="O188" s="1162"/>
      <c r="P188" s="824" t="str">
        <f>IF(SUM($AC188:$AD188)=0,"",SUM($AC188:$AD188))</f>
        <v/>
      </c>
      <c r="Q188" s="216">
        <f>IF($D188=$BE$179,$BI$179,0)</f>
        <v>0</v>
      </c>
      <c r="R188" s="216">
        <f>IF($D188=$BE$180,$BI$180,0)</f>
        <v>0</v>
      </c>
      <c r="S188" s="216">
        <f>IF($D188=$BE$181,$BI$181,0)</f>
        <v>0</v>
      </c>
      <c r="T188" s="216">
        <f>IF($D188=$BE$182,$BI$182,0)</f>
        <v>0</v>
      </c>
      <c r="U188" s="216"/>
      <c r="V188" s="216"/>
      <c r="W188" s="220"/>
      <c r="X188" s="216">
        <f>IF(OR($I188=$BE$187,$I188=$BE$188,$I188=$BE$189,$I188=$BE$190,$I188=$BE$191,$I188=$BE$192,$I188=$BE$193),0,0)</f>
        <v>0</v>
      </c>
      <c r="Y188" s="216">
        <f>IF(OR($I188=$BE$195,$I188=$BE$196,$I188=$BE$197,$I188=$BE$198,$I188=$BE$199,$I188=$BE$200,$I188=$BE$201,$I188=$BE$202,$I188=$BE$203,$I188=$BE$206,$I188=$BE$207,I188=$BE$208,$I188=$BE$209,$I188=$BE$210),PRIJZEN!$I$9,0)</f>
        <v>0</v>
      </c>
      <c r="Z188" s="216">
        <f>IF(OR($I188=$BE$212,$I188=$BE$213,$I188=$BE$214,$I188=$BE$215,$I188=$BE$216),PRIJZEN!$I$10,0)</f>
        <v>0</v>
      </c>
      <c r="AA188" s="205"/>
      <c r="AB188" s="205"/>
      <c r="AC188" s="221">
        <f>IF(OR($D188=$BE$179,$D188=$BE$180),5,0)</f>
        <v>0</v>
      </c>
      <c r="AD188" s="221">
        <f>IF(OR($D188=$BE$181,$D188=$BE$182),6,0)</f>
        <v>0</v>
      </c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 t="s">
        <v>125</v>
      </c>
      <c r="AX188" s="205"/>
      <c r="AY188" s="205"/>
      <c r="AZ188" s="205"/>
      <c r="BA188" s="205"/>
      <c r="BB188" s="205"/>
      <c r="BC188" s="212"/>
      <c r="BD188" s="205"/>
      <c r="BE188" s="65" t="s">
        <v>219</v>
      </c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1"/>
      <c r="DF188" s="91"/>
      <c r="DG188" s="409"/>
      <c r="DH188" s="409"/>
      <c r="DI188" s="409"/>
      <c r="DJ188" s="409"/>
      <c r="DK188" s="409"/>
      <c r="DL188" s="409"/>
      <c r="DM188" s="409"/>
      <c r="DN188" s="409"/>
      <c r="DO188" s="409"/>
      <c r="DP188" s="409"/>
      <c r="DQ188" s="409"/>
      <c r="DR188" s="409"/>
      <c r="DS188" s="409"/>
      <c r="DT188" s="409"/>
      <c r="DU188" s="409"/>
      <c r="DV188" s="409"/>
      <c r="DW188" s="409"/>
      <c r="DX188" s="409"/>
      <c r="DY188" s="409"/>
      <c r="DZ188" s="409"/>
      <c r="EA188" s="409"/>
      <c r="EB188" s="409"/>
      <c r="EC188" s="409"/>
      <c r="ED188" s="409"/>
    </row>
    <row r="189" spans="1:134" ht="23.05" customHeight="1">
      <c r="A189" s="63"/>
      <c r="B189" s="1313"/>
      <c r="C189" s="156" t="s">
        <v>202</v>
      </c>
      <c r="D189" s="1154" t="s">
        <v>217</v>
      </c>
      <c r="E189" s="1155"/>
      <c r="F189" s="1155"/>
      <c r="G189" s="1155"/>
      <c r="H189" s="1156"/>
      <c r="I189" s="1048" t="s">
        <v>218</v>
      </c>
      <c r="J189" s="1049"/>
      <c r="K189" s="1049"/>
      <c r="L189" s="1049"/>
      <c r="M189" s="1050"/>
      <c r="N189" s="1043" t="str">
        <f>IF(OR(D189="klik &amp; kies broodsoort",I189="klik &amp; kies beleg"),"",SUM(Q189:Z189))</f>
        <v/>
      </c>
      <c r="O189" s="1044"/>
      <c r="P189" s="825" t="str">
        <f t="shared" ref="P189:P217" si="62">IF(SUM($AC189:$AD189)=0,"",SUM($AC189:$AD189))</f>
        <v/>
      </c>
      <c r="Q189" s="216">
        <f t="shared" ref="Q189:Q217" si="63">IF($D189=$BE$179,$BI$179,0)</f>
        <v>0</v>
      </c>
      <c r="R189" s="216">
        <f t="shared" ref="R189:R217" si="64">IF($D189=$BE$180,$BI$180,0)</f>
        <v>0</v>
      </c>
      <c r="S189" s="216">
        <f t="shared" ref="S189:S217" si="65">IF($D189=$BE$181,$BI$181,0)</f>
        <v>0</v>
      </c>
      <c r="T189" s="216">
        <f t="shared" ref="T189:T217" si="66">IF($D189=$BE$182,$BI$182,0)</f>
        <v>0</v>
      </c>
      <c r="U189" s="216"/>
      <c r="V189" s="216"/>
      <c r="W189" s="220"/>
      <c r="X189" s="216">
        <f t="shared" ref="X189:X217" si="67">IF(OR($I189=$BE$187,$I189=$BE$188,$I189=$BE$189,$I189=$BE$190,$I189=$BE$191,$I189=$BE$192,$I189=$BE$193),0,0)</f>
        <v>0</v>
      </c>
      <c r="Y189" s="216">
        <f>IF(OR($I189=$BE$195,$I189=$BE$196,$I189=$BE$197,$I189=$BE$198,$I189=$BE$199,$I189=$BE$200,$I189=$BE$201,$I189=$BE$202,$I189=$BE$203,$I189=$BE$204,$I189=$BE$206,$I189=$BE$207,I189=$BE$208,$I189=$BE$209,$I189=$BE$210),PRIJZEN!$I$9,0)</f>
        <v>0</v>
      </c>
      <c r="Z189" s="216">
        <f>IF(OR($I189=$BE$212,$I189=$BE$213,$I189=$BE$214,$I189=$BE$215,$I189=$BE$216),PRIJZEN!$I$10,0)</f>
        <v>0</v>
      </c>
      <c r="AA189" s="205"/>
      <c r="AB189" s="205"/>
      <c r="AC189" s="221">
        <f t="shared" ref="AC189:AC217" si="68">IF(OR($D189=$BE$179,$D189=$BE$180),5,0)</f>
        <v>0</v>
      </c>
      <c r="AD189" s="221">
        <f t="shared" ref="AD189:AD217" si="69">IF(OR($D189=$BE$181,$D189=$BE$182),6,0)</f>
        <v>0</v>
      </c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 t="s">
        <v>153</v>
      </c>
      <c r="AX189" s="205"/>
      <c r="AY189" s="205"/>
      <c r="AZ189" s="205"/>
      <c r="BA189" s="205"/>
      <c r="BB189" s="205"/>
      <c r="BC189" s="212">
        <f>PRIJZEN!F57</f>
        <v>35.200000000000003</v>
      </c>
      <c r="BD189" s="205"/>
      <c r="BE189" s="65" t="s">
        <v>220</v>
      </c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1"/>
      <c r="DF189" s="91"/>
      <c r="DG189" s="409"/>
      <c r="DH189" s="409"/>
      <c r="DI189" s="409"/>
      <c r="DJ189" s="409"/>
      <c r="DK189" s="409"/>
      <c r="DL189" s="409"/>
      <c r="DM189" s="409"/>
      <c r="DN189" s="409"/>
      <c r="DO189" s="409"/>
      <c r="DP189" s="409"/>
      <c r="DQ189" s="409"/>
      <c r="DR189" s="409"/>
      <c r="DS189" s="409"/>
      <c r="DT189" s="409"/>
      <c r="DU189" s="409"/>
      <c r="DV189" s="409"/>
      <c r="DW189" s="409"/>
      <c r="DX189" s="409"/>
      <c r="DY189" s="409"/>
      <c r="DZ189" s="409"/>
      <c r="EA189" s="409"/>
      <c r="EB189" s="409"/>
      <c r="EC189" s="409"/>
      <c r="ED189" s="409"/>
    </row>
    <row r="190" spans="1:134" ht="23.05" customHeight="1">
      <c r="A190" s="63"/>
      <c r="B190" s="1"/>
      <c r="C190" s="157" t="s">
        <v>203</v>
      </c>
      <c r="D190" s="1154" t="s">
        <v>217</v>
      </c>
      <c r="E190" s="1155"/>
      <c r="F190" s="1155"/>
      <c r="G190" s="1155"/>
      <c r="H190" s="1156"/>
      <c r="I190" s="1048" t="s">
        <v>218</v>
      </c>
      <c r="J190" s="1049"/>
      <c r="K190" s="1049"/>
      <c r="L190" s="1049"/>
      <c r="M190" s="1050"/>
      <c r="N190" s="1043" t="str">
        <f>IF(OR(D190="klik &amp; kies broodsoort",I190="klik &amp; kies beleg"),"",SUM(Q190:Z190))</f>
        <v/>
      </c>
      <c r="O190" s="1044"/>
      <c r="P190" s="826" t="str">
        <f t="shared" si="62"/>
        <v/>
      </c>
      <c r="Q190" s="216">
        <f t="shared" si="63"/>
        <v>0</v>
      </c>
      <c r="R190" s="216">
        <f t="shared" si="64"/>
        <v>0</v>
      </c>
      <c r="S190" s="216">
        <f t="shared" si="65"/>
        <v>0</v>
      </c>
      <c r="T190" s="216">
        <f t="shared" si="66"/>
        <v>0</v>
      </c>
      <c r="U190" s="216"/>
      <c r="V190" s="216"/>
      <c r="W190" s="220"/>
      <c r="X190" s="216">
        <f t="shared" si="67"/>
        <v>0</v>
      </c>
      <c r="Y190" s="216">
        <f>IF(OR($I190=$BE$195,$I190=$BE$196,$I190=$BE$197,$I190=$BE$198,$I190=$BE$199,$I190=$BE$200,$I190=$BE$201,$I190=$BE$202,$I190=$BE$203,$I190=$BE$204,$I190=$BE$206,$I190=$BE$207,I190=$BE$208,$I190=$BE$209,$I190=$BE$210),PRIJZEN!$I$9,0)</f>
        <v>0</v>
      </c>
      <c r="Z190" s="216">
        <f>IF(OR($I190=$BE$212,$I190=$BE$213,$I190=$BE$214,$I190=$BE$215,$I190=$BE$216),PRIJZEN!$I$10,0)</f>
        <v>0</v>
      </c>
      <c r="AA190" s="205"/>
      <c r="AB190" s="205"/>
      <c r="AC190" s="221">
        <f t="shared" si="68"/>
        <v>0</v>
      </c>
      <c r="AD190" s="221">
        <f t="shared" si="69"/>
        <v>0</v>
      </c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 t="s">
        <v>154</v>
      </c>
      <c r="AX190" s="205"/>
      <c r="AY190" s="205"/>
      <c r="AZ190" s="205"/>
      <c r="BA190" s="205"/>
      <c r="BB190" s="205"/>
      <c r="BC190" s="212">
        <f>PRIJZEN!F58</f>
        <v>52.8</v>
      </c>
      <c r="BD190" s="205"/>
      <c r="BE190" s="65" t="s">
        <v>221</v>
      </c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1"/>
      <c r="DF190" s="91"/>
      <c r="DG190" s="409"/>
      <c r="DH190" s="409"/>
      <c r="DI190" s="409"/>
      <c r="DJ190" s="409"/>
      <c r="DK190" s="409"/>
      <c r="DL190" s="409"/>
      <c r="DM190" s="409"/>
      <c r="DN190" s="409"/>
      <c r="DO190" s="409"/>
      <c r="DP190" s="409"/>
      <c r="DQ190" s="409"/>
      <c r="DR190" s="409"/>
      <c r="DS190" s="409"/>
      <c r="DT190" s="409"/>
      <c r="DU190" s="409"/>
      <c r="DV190" s="409"/>
      <c r="DW190" s="409"/>
      <c r="DX190" s="409"/>
      <c r="DY190" s="409"/>
      <c r="DZ190" s="409"/>
      <c r="EA190" s="409"/>
      <c r="EB190" s="409"/>
      <c r="EC190" s="409"/>
      <c r="ED190" s="409"/>
    </row>
    <row r="191" spans="1:134" ht="23.05" customHeight="1">
      <c r="A191" s="63"/>
      <c r="B191" s="1"/>
      <c r="C191" s="157" t="s">
        <v>204</v>
      </c>
      <c r="D191" s="1148" t="s">
        <v>217</v>
      </c>
      <c r="E191" s="1149"/>
      <c r="F191" s="1149"/>
      <c r="G191" s="1149"/>
      <c r="H191" s="1150"/>
      <c r="I191" s="1048" t="s">
        <v>218</v>
      </c>
      <c r="J191" s="1049"/>
      <c r="K191" s="1049"/>
      <c r="L191" s="1049"/>
      <c r="M191" s="1050"/>
      <c r="N191" s="1080" t="str">
        <f t="shared" ref="N191:N217" si="70">IF(OR(D191="klik &amp; kies broodsoort",I191="klik &amp; kies beleg"),"",SUM(Q191:Z191))</f>
        <v/>
      </c>
      <c r="O191" s="1068"/>
      <c r="P191" s="826" t="str">
        <f t="shared" si="62"/>
        <v/>
      </c>
      <c r="Q191" s="216">
        <f>IF($D191=$BE$179,$BI$179,0)</f>
        <v>0</v>
      </c>
      <c r="R191" s="216">
        <f t="shared" si="64"/>
        <v>0</v>
      </c>
      <c r="S191" s="216">
        <f t="shared" si="65"/>
        <v>0</v>
      </c>
      <c r="T191" s="216">
        <f t="shared" si="66"/>
        <v>0</v>
      </c>
      <c r="U191" s="216"/>
      <c r="V191" s="216"/>
      <c r="W191" s="220"/>
      <c r="X191" s="216">
        <f t="shared" si="67"/>
        <v>0</v>
      </c>
      <c r="Y191" s="216">
        <f>IF(OR($I191=$BE$195,$I191=$BE$196,$I191=$BE$197,$I191=$BE$198,$I191=$BE$199,$I191=$BE$200,$I191=$BE$201,$I191=$BE$202,$I191=$BE$203,$I191=$BE$204,$I191=$BE$206,$I191=$BE$207,I191=$BE$208,$I191=$BE$209,$I191=$BE$210),PRIJZEN!$I$9,0)</f>
        <v>0</v>
      </c>
      <c r="Z191" s="216">
        <f>IF(OR($I191=$BE$212,$I191=$BE$213,$I191=$BE$214,$I191=$BE$215,$I191=$BE$216),PRIJZEN!$I$10,0)</f>
        <v>0</v>
      </c>
      <c r="AA191" s="205"/>
      <c r="AB191" s="205"/>
      <c r="AC191" s="221">
        <f t="shared" si="68"/>
        <v>0</v>
      </c>
      <c r="AD191" s="221">
        <f t="shared" si="69"/>
        <v>0</v>
      </c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 t="s">
        <v>155</v>
      </c>
      <c r="AX191" s="205"/>
      <c r="AY191" s="205"/>
      <c r="AZ191" s="205"/>
      <c r="BA191" s="205"/>
      <c r="BB191" s="205"/>
      <c r="BC191" s="212">
        <f>PRIJZEN!F59</f>
        <v>70.400000000000006</v>
      </c>
      <c r="BD191" s="205"/>
      <c r="BE191" s="65" t="s">
        <v>222</v>
      </c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1"/>
      <c r="DF191" s="91"/>
      <c r="DG191" s="409"/>
      <c r="DH191" s="409"/>
      <c r="DI191" s="409"/>
      <c r="DJ191" s="409"/>
      <c r="DK191" s="409"/>
      <c r="DL191" s="409"/>
      <c r="DM191" s="409"/>
      <c r="DN191" s="409"/>
      <c r="DO191" s="409"/>
      <c r="DP191" s="409"/>
      <c r="DQ191" s="409"/>
      <c r="DR191" s="409"/>
      <c r="DS191" s="409"/>
      <c r="DT191" s="409"/>
      <c r="DU191" s="409"/>
      <c r="DV191" s="409"/>
      <c r="DW191" s="409"/>
      <c r="DX191" s="409"/>
      <c r="DY191" s="409"/>
      <c r="DZ191" s="409"/>
      <c r="EA191" s="409"/>
      <c r="EB191" s="409"/>
      <c r="EC191" s="409"/>
      <c r="ED191" s="409"/>
    </row>
    <row r="192" spans="1:134" ht="23.05" customHeight="1">
      <c r="A192" s="63"/>
      <c r="B192" s="1"/>
      <c r="C192" s="157" t="s">
        <v>205</v>
      </c>
      <c r="D192" s="1145" t="s">
        <v>217</v>
      </c>
      <c r="E192" s="1146"/>
      <c r="F192" s="1146"/>
      <c r="G192" s="1146"/>
      <c r="H192" s="1147"/>
      <c r="I192" s="1048" t="s">
        <v>218</v>
      </c>
      <c r="J192" s="1049"/>
      <c r="K192" s="1049"/>
      <c r="L192" s="1049"/>
      <c r="M192" s="1050"/>
      <c r="N192" s="1157" t="str">
        <f t="shared" si="70"/>
        <v/>
      </c>
      <c r="O192" s="1158"/>
      <c r="P192" s="827" t="str">
        <f t="shared" si="62"/>
        <v/>
      </c>
      <c r="Q192" s="216">
        <f t="shared" si="63"/>
        <v>0</v>
      </c>
      <c r="R192" s="216">
        <f t="shared" si="64"/>
        <v>0</v>
      </c>
      <c r="S192" s="216">
        <f t="shared" si="65"/>
        <v>0</v>
      </c>
      <c r="T192" s="216">
        <f t="shared" si="66"/>
        <v>0</v>
      </c>
      <c r="U192" s="216"/>
      <c r="V192" s="216"/>
      <c r="W192" s="220"/>
      <c r="X192" s="216">
        <f t="shared" si="67"/>
        <v>0</v>
      </c>
      <c r="Y192" s="216">
        <f>IF(OR($I192=$BE$195,$I192=$BE$196,$I192=$BE$197,$I192=$BE$198,$I192=$BE$199,$I192=$BE$200,$I192=$BE$201,$I192=$BE$202,$I192=$BE$203,$I192=$BE$204,$I192=$BE$206,$I192=$BE$207,I192=$BE$208,$I192=$BE$209,$I192=$BE$210),PRIJZEN!$I$9,0)</f>
        <v>0</v>
      </c>
      <c r="Z192" s="216">
        <f>IF(OR($I192=$BE$212,$I192=$BE$213,$I192=$BE$214,$I192=$BE$215,$I192=$BE$216),PRIJZEN!$I$10,0)</f>
        <v>0</v>
      </c>
      <c r="AA192" s="205"/>
      <c r="AB192" s="205"/>
      <c r="AC192" s="221">
        <f t="shared" si="68"/>
        <v>0</v>
      </c>
      <c r="AD192" s="221">
        <f t="shared" si="69"/>
        <v>0</v>
      </c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 t="s">
        <v>156</v>
      </c>
      <c r="AX192" s="205"/>
      <c r="AY192" s="205"/>
      <c r="AZ192" s="205"/>
      <c r="BA192" s="205"/>
      <c r="BB192" s="205"/>
      <c r="BC192" s="212">
        <f>PRIJZEN!F60</f>
        <v>88</v>
      </c>
      <c r="BD192" s="205"/>
      <c r="BE192" s="65" t="s">
        <v>223</v>
      </c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1"/>
      <c r="DF192" s="91"/>
      <c r="DG192" s="409"/>
      <c r="DH192" s="409"/>
      <c r="DI192" s="409"/>
      <c r="DJ192" s="409"/>
      <c r="DK192" s="409"/>
      <c r="DL192" s="409"/>
      <c r="DM192" s="409"/>
      <c r="DN192" s="409"/>
      <c r="DO192" s="409"/>
      <c r="DP192" s="409"/>
      <c r="DQ192" s="409"/>
      <c r="DR192" s="409"/>
      <c r="DS192" s="409"/>
      <c r="DT192" s="409"/>
      <c r="DU192" s="409"/>
      <c r="DV192" s="409"/>
      <c r="DW192" s="409"/>
      <c r="DX192" s="409"/>
      <c r="DY192" s="409"/>
      <c r="DZ192" s="409"/>
      <c r="EA192" s="409"/>
      <c r="EB192" s="409"/>
      <c r="EC192" s="409"/>
      <c r="ED192" s="409"/>
    </row>
    <row r="193" spans="1:134" ht="23.05" customHeight="1">
      <c r="A193" s="63"/>
      <c r="B193" s="1"/>
      <c r="C193" s="157" t="s">
        <v>206</v>
      </c>
      <c r="D193" s="1145" t="s">
        <v>217</v>
      </c>
      <c r="E193" s="1146"/>
      <c r="F193" s="1146"/>
      <c r="G193" s="1146"/>
      <c r="H193" s="1147"/>
      <c r="I193" s="1048" t="s">
        <v>218</v>
      </c>
      <c r="J193" s="1049"/>
      <c r="K193" s="1049"/>
      <c r="L193" s="1049"/>
      <c r="M193" s="1050"/>
      <c r="N193" s="1157" t="str">
        <f t="shared" si="70"/>
        <v/>
      </c>
      <c r="O193" s="1158"/>
      <c r="P193" s="825" t="str">
        <f t="shared" si="62"/>
        <v/>
      </c>
      <c r="Q193" s="216">
        <f t="shared" si="63"/>
        <v>0</v>
      </c>
      <c r="R193" s="216">
        <f t="shared" si="64"/>
        <v>0</v>
      </c>
      <c r="S193" s="216">
        <f t="shared" si="65"/>
        <v>0</v>
      </c>
      <c r="T193" s="216">
        <f t="shared" si="66"/>
        <v>0</v>
      </c>
      <c r="U193" s="216"/>
      <c r="V193" s="216"/>
      <c r="W193" s="220"/>
      <c r="X193" s="216">
        <f t="shared" si="67"/>
        <v>0</v>
      </c>
      <c r="Y193" s="216">
        <f>IF(OR($I193=$BE$195,$I193=$BE$196,$I193=$BE$197,$I193=$BE$198,$I193=$BE$199,$I193=$BE$200,$I193=$BE$201,$I193=$BE$202,$I193=$BE$203,$I193=$BE$204,$I193=$BE$206,$I193=$BE$207,I193=$BE$208,$I193=$BE$209,$I193=$BE$210),PRIJZEN!$I$9,0)</f>
        <v>0</v>
      </c>
      <c r="Z193" s="216">
        <f>IF(OR($I193=$BE$212,$I193=$BE$213,$I193=$BE$214,$I193=$BE$215,$I193=$BE$216),PRIJZEN!$I$10,0)</f>
        <v>0</v>
      </c>
      <c r="AA193" s="205"/>
      <c r="AB193" s="205"/>
      <c r="AC193" s="221">
        <f t="shared" si="68"/>
        <v>0</v>
      </c>
      <c r="AD193" s="221">
        <f t="shared" si="69"/>
        <v>0</v>
      </c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 t="s">
        <v>157</v>
      </c>
      <c r="AX193" s="205"/>
      <c r="AY193" s="205"/>
      <c r="AZ193" s="205"/>
      <c r="BA193" s="205"/>
      <c r="BB193" s="205"/>
      <c r="BC193" s="212">
        <f>PRIJZEN!F61</f>
        <v>105.6</v>
      </c>
      <c r="BD193" s="205"/>
      <c r="BE193" s="65" t="s">
        <v>224</v>
      </c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65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1"/>
      <c r="DF193" s="91"/>
      <c r="DG193" s="409"/>
      <c r="DH193" s="409"/>
      <c r="DI193" s="409"/>
      <c r="DJ193" s="409"/>
      <c r="DK193" s="409"/>
      <c r="DL193" s="409"/>
      <c r="DM193" s="409"/>
      <c r="DN193" s="409"/>
      <c r="DO193" s="409"/>
      <c r="DP193" s="409"/>
      <c r="DQ193" s="409"/>
      <c r="DR193" s="409"/>
      <c r="DS193" s="409"/>
      <c r="DT193" s="409"/>
      <c r="DU193" s="409"/>
      <c r="DV193" s="409"/>
      <c r="DW193" s="409"/>
      <c r="DX193" s="409"/>
      <c r="DY193" s="409"/>
      <c r="DZ193" s="409"/>
      <c r="EA193" s="409"/>
      <c r="EB193" s="409"/>
      <c r="EC193" s="409"/>
      <c r="ED193" s="409"/>
    </row>
    <row r="194" spans="1:134" ht="23.05" customHeight="1">
      <c r="A194" s="63"/>
      <c r="B194" s="1"/>
      <c r="C194" s="157" t="s">
        <v>207</v>
      </c>
      <c r="D194" s="1148" t="s">
        <v>217</v>
      </c>
      <c r="E194" s="1149"/>
      <c r="F194" s="1149"/>
      <c r="G194" s="1149"/>
      <c r="H194" s="1150"/>
      <c r="I194" s="1048" t="s">
        <v>218</v>
      </c>
      <c r="J194" s="1049"/>
      <c r="K194" s="1049"/>
      <c r="L194" s="1049"/>
      <c r="M194" s="1050"/>
      <c r="N194" s="1157" t="str">
        <f t="shared" si="70"/>
        <v/>
      </c>
      <c r="O194" s="1158"/>
      <c r="P194" s="826" t="str">
        <f t="shared" si="62"/>
        <v/>
      </c>
      <c r="Q194" s="216">
        <f t="shared" si="63"/>
        <v>0</v>
      </c>
      <c r="R194" s="216">
        <f t="shared" si="64"/>
        <v>0</v>
      </c>
      <c r="S194" s="216">
        <f t="shared" si="65"/>
        <v>0</v>
      </c>
      <c r="T194" s="216">
        <f t="shared" si="66"/>
        <v>0</v>
      </c>
      <c r="U194" s="216"/>
      <c r="V194" s="216"/>
      <c r="W194" s="220"/>
      <c r="X194" s="216">
        <f t="shared" si="67"/>
        <v>0</v>
      </c>
      <c r="Y194" s="216">
        <f>IF(OR($I194=$BE$195,$I194=$BE$196,$I194=$BE$197,$I194=$BE$198,$I194=$BE$199,$I194=$BE$200,$I194=$BE$201,$I194=$BE$202,$I194=$BE$203,$I194=$BE$204,$I194=$BE$206,$I194=$BE$207,I194=$BE$208,$I194=$BE$209,$I194=$BE$210),PRIJZEN!$I$9,0)</f>
        <v>0</v>
      </c>
      <c r="Z194" s="216">
        <f>IF(OR($I194=$BE$212,$I194=$BE$213,$I194=$BE$214,$I194=$BE$215,$I194=$BE$216),PRIJZEN!$I$10,0)</f>
        <v>0</v>
      </c>
      <c r="AA194" s="205"/>
      <c r="AB194" s="205"/>
      <c r="AC194" s="221">
        <f t="shared" si="68"/>
        <v>0</v>
      </c>
      <c r="AD194" s="221">
        <f t="shared" si="69"/>
        <v>0</v>
      </c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 t="s">
        <v>158</v>
      </c>
      <c r="AX194" s="205"/>
      <c r="AY194" s="205"/>
      <c r="AZ194" s="205"/>
      <c r="BA194" s="205"/>
      <c r="BB194" s="205"/>
      <c r="BC194" s="212">
        <f>PRIJZEN!F62</f>
        <v>123.2</v>
      </c>
      <c r="BD194" s="20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65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1"/>
      <c r="DF194" s="91"/>
      <c r="DG194" s="409"/>
      <c r="DH194" s="409"/>
      <c r="DI194" s="409"/>
      <c r="DJ194" s="409"/>
      <c r="DK194" s="409"/>
      <c r="DL194" s="409"/>
      <c r="DM194" s="409"/>
      <c r="DN194" s="409"/>
      <c r="DO194" s="409"/>
      <c r="DP194" s="409"/>
      <c r="DQ194" s="409"/>
      <c r="DR194" s="409"/>
      <c r="DS194" s="409"/>
      <c r="DT194" s="409"/>
      <c r="DU194" s="409"/>
      <c r="DV194" s="409"/>
      <c r="DW194" s="409"/>
      <c r="DX194" s="409"/>
      <c r="DY194" s="409"/>
      <c r="DZ194" s="409"/>
      <c r="EA194" s="409"/>
      <c r="EB194" s="409"/>
      <c r="EC194" s="409"/>
      <c r="ED194" s="409"/>
    </row>
    <row r="195" spans="1:134" ht="23.05" customHeight="1">
      <c r="A195" s="63"/>
      <c r="B195" s="1"/>
      <c r="C195" s="157" t="s">
        <v>208</v>
      </c>
      <c r="D195" s="1151" t="s">
        <v>217</v>
      </c>
      <c r="E195" s="1152"/>
      <c r="F195" s="1152"/>
      <c r="G195" s="1152"/>
      <c r="H195" s="1153"/>
      <c r="I195" s="1048" t="s">
        <v>218</v>
      </c>
      <c r="J195" s="1049"/>
      <c r="K195" s="1049"/>
      <c r="L195" s="1049"/>
      <c r="M195" s="1050"/>
      <c r="N195" s="1043" t="str">
        <f t="shared" si="70"/>
        <v/>
      </c>
      <c r="O195" s="1044"/>
      <c r="P195" s="826" t="str">
        <f t="shared" si="62"/>
        <v/>
      </c>
      <c r="Q195" s="216">
        <f t="shared" si="63"/>
        <v>0</v>
      </c>
      <c r="R195" s="216">
        <f t="shared" si="64"/>
        <v>0</v>
      </c>
      <c r="S195" s="216">
        <f t="shared" si="65"/>
        <v>0</v>
      </c>
      <c r="T195" s="216">
        <f t="shared" si="66"/>
        <v>0</v>
      </c>
      <c r="U195" s="216"/>
      <c r="V195" s="216"/>
      <c r="W195" s="220"/>
      <c r="X195" s="216">
        <f t="shared" si="67"/>
        <v>0</v>
      </c>
      <c r="Y195" s="216">
        <f>IF(OR($I195=$BE$195,$I195=$BE$196,$I195=$BE$197,$I195=$BE$198,$I195=$BE$199,$I195=$BE$200,$I195=$BE$201,$I195=$BE$202,$I195=$BE$203,$I195=$BE$204,$I195=$BE$206,$I195=$BE$207,I195=$BE$208,$I195=$BE$209,$I195=$BE$210),PRIJZEN!$I$9,0)</f>
        <v>0</v>
      </c>
      <c r="Z195" s="216">
        <f>IF(OR($I195=$BE$212,$I195=$BE$213,$I195=$BE$214,$I195=$BE$215,$I195=$BE$216),PRIJZEN!$I$10,0)</f>
        <v>0</v>
      </c>
      <c r="AA195" s="205"/>
      <c r="AB195" s="205"/>
      <c r="AC195" s="221">
        <f t="shared" si="68"/>
        <v>0</v>
      </c>
      <c r="AD195" s="221">
        <f t="shared" si="69"/>
        <v>0</v>
      </c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 t="s">
        <v>159</v>
      </c>
      <c r="AX195" s="205"/>
      <c r="AY195" s="205"/>
      <c r="AZ195" s="205"/>
      <c r="BA195" s="205"/>
      <c r="BB195" s="205"/>
      <c r="BC195" s="212">
        <f>PRIJZEN!F63</f>
        <v>140.80000000000001</v>
      </c>
      <c r="BD195" s="205"/>
      <c r="BE195" s="65" t="s">
        <v>672</v>
      </c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1"/>
      <c r="DF195" s="91"/>
      <c r="DG195" s="409"/>
      <c r="DH195" s="409"/>
      <c r="DI195" s="409"/>
      <c r="DJ195" s="409"/>
      <c r="DK195" s="409"/>
      <c r="DL195" s="409"/>
      <c r="DM195" s="409"/>
      <c r="DN195" s="409"/>
      <c r="DO195" s="409"/>
      <c r="DP195" s="409"/>
      <c r="DQ195" s="409"/>
      <c r="DR195" s="409"/>
      <c r="DS195" s="409"/>
      <c r="DT195" s="409"/>
      <c r="DU195" s="409"/>
      <c r="DV195" s="409"/>
      <c r="DW195" s="409"/>
      <c r="DX195" s="409"/>
      <c r="DY195" s="409"/>
      <c r="DZ195" s="409"/>
      <c r="EA195" s="409"/>
      <c r="EB195" s="409"/>
      <c r="EC195" s="409"/>
      <c r="ED195" s="409"/>
    </row>
    <row r="196" spans="1:134" ht="23.05" customHeight="1">
      <c r="A196" s="63"/>
      <c r="B196" s="1"/>
      <c r="C196" s="157" t="s">
        <v>209</v>
      </c>
      <c r="D196" s="1148" t="s">
        <v>217</v>
      </c>
      <c r="E196" s="1149"/>
      <c r="F196" s="1149"/>
      <c r="G196" s="1149"/>
      <c r="H196" s="1150"/>
      <c r="I196" s="1048" t="s">
        <v>218</v>
      </c>
      <c r="J196" s="1049"/>
      <c r="K196" s="1049"/>
      <c r="L196" s="1049"/>
      <c r="M196" s="1050"/>
      <c r="N196" s="1080" t="str">
        <f t="shared" si="70"/>
        <v/>
      </c>
      <c r="O196" s="1068"/>
      <c r="P196" s="826" t="str">
        <f t="shared" si="62"/>
        <v/>
      </c>
      <c r="Q196" s="216">
        <f t="shared" si="63"/>
        <v>0</v>
      </c>
      <c r="R196" s="216">
        <f t="shared" si="64"/>
        <v>0</v>
      </c>
      <c r="S196" s="216">
        <f t="shared" si="65"/>
        <v>0</v>
      </c>
      <c r="T196" s="216">
        <f t="shared" si="66"/>
        <v>0</v>
      </c>
      <c r="U196" s="216"/>
      <c r="V196" s="216"/>
      <c r="W196" s="220"/>
      <c r="X196" s="216">
        <f t="shared" si="67"/>
        <v>0</v>
      </c>
      <c r="Y196" s="216">
        <f>IF(OR($I196=$BE$195,$I196=$BE$196,$I196=$BE$197,$I196=$BE$198,$I196=$BE$199,$I196=$BE$200,$I196=$BE$201,$I196=$BE$202,$I196=$BE$203,$I196=$BE$204,$I196=$BE$206,$I196=$BE$207,I196=$BE$208,$I196=$BE$209,$I196=$BE$210),PRIJZEN!$I$9,0)</f>
        <v>0</v>
      </c>
      <c r="Z196" s="216">
        <f>IF(OR($I196=$BE$212,$I196=$BE$213,$I196=$BE$214,$I196=$BE$215,$I196=$BE$216),PRIJZEN!$I$10,0)</f>
        <v>0</v>
      </c>
      <c r="AA196" s="205"/>
      <c r="AB196" s="205"/>
      <c r="AC196" s="221">
        <f t="shared" si="68"/>
        <v>0</v>
      </c>
      <c r="AD196" s="221">
        <f t="shared" si="69"/>
        <v>0</v>
      </c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 t="s">
        <v>160</v>
      </c>
      <c r="AX196" s="205"/>
      <c r="AY196" s="205"/>
      <c r="AZ196" s="205"/>
      <c r="BA196" s="205"/>
      <c r="BB196" s="205"/>
      <c r="BC196" s="212">
        <f>PRIJZEN!F64</f>
        <v>158.4</v>
      </c>
      <c r="BD196" s="205"/>
      <c r="BE196" s="65" t="s">
        <v>225</v>
      </c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1"/>
      <c r="DF196" s="91"/>
      <c r="DG196" s="409"/>
      <c r="DH196" s="409"/>
      <c r="DI196" s="409"/>
      <c r="DJ196" s="409"/>
      <c r="DK196" s="409"/>
      <c r="DL196" s="409"/>
      <c r="DM196" s="409"/>
      <c r="DN196" s="409"/>
      <c r="DO196" s="409"/>
      <c r="DP196" s="409"/>
      <c r="DQ196" s="409"/>
      <c r="DR196" s="409"/>
      <c r="DS196" s="409"/>
      <c r="DT196" s="409"/>
      <c r="DU196" s="409"/>
      <c r="DV196" s="409"/>
      <c r="DW196" s="409"/>
      <c r="DX196" s="409"/>
      <c r="DY196" s="409"/>
      <c r="DZ196" s="409"/>
      <c r="EA196" s="409"/>
      <c r="EB196" s="409"/>
      <c r="EC196" s="409"/>
      <c r="ED196" s="409"/>
    </row>
    <row r="197" spans="1:134" ht="23.05" customHeight="1">
      <c r="A197" s="63"/>
      <c r="B197" s="1"/>
      <c r="C197" s="157" t="s">
        <v>210</v>
      </c>
      <c r="D197" s="1148" t="s">
        <v>217</v>
      </c>
      <c r="E197" s="1149"/>
      <c r="F197" s="1149"/>
      <c r="G197" s="1149"/>
      <c r="H197" s="1150"/>
      <c r="I197" s="1048" t="s">
        <v>218</v>
      </c>
      <c r="J197" s="1049"/>
      <c r="K197" s="1049"/>
      <c r="L197" s="1049"/>
      <c r="M197" s="1050"/>
      <c r="N197" s="1157" t="str">
        <f t="shared" si="70"/>
        <v/>
      </c>
      <c r="O197" s="1158"/>
      <c r="P197" s="826" t="str">
        <f t="shared" si="62"/>
        <v/>
      </c>
      <c r="Q197" s="216">
        <f t="shared" si="63"/>
        <v>0</v>
      </c>
      <c r="R197" s="216">
        <f t="shared" si="64"/>
        <v>0</v>
      </c>
      <c r="S197" s="216">
        <f t="shared" si="65"/>
        <v>0</v>
      </c>
      <c r="T197" s="216">
        <f t="shared" si="66"/>
        <v>0</v>
      </c>
      <c r="U197" s="216"/>
      <c r="V197" s="216"/>
      <c r="W197" s="220"/>
      <c r="X197" s="216">
        <f t="shared" si="67"/>
        <v>0</v>
      </c>
      <c r="Y197" s="216">
        <f>IF(OR($I197=$BE$195,$I197=$BE$196,$I197=$BE$197,$I197=$BE$198,$I197=$BE$199,$I197=$BE$200,$I197=$BE$201,$I197=$BE$202,$I197=$BE$203,$I197=$BE$204,$I197=$BE$206,$I197=$BE$207,I197=$BE$208,$I197=$BE$209,$I197=$BE$210),PRIJZEN!$I$9,0)</f>
        <v>0</v>
      </c>
      <c r="Z197" s="216">
        <f>IF(OR($I197=$BE$212,$I197=$BE$213,$I197=$BE$214,$I197=$BE$215,$I197=$BE$216),PRIJZEN!$I$10,0)</f>
        <v>0</v>
      </c>
      <c r="AA197" s="205"/>
      <c r="AB197" s="205"/>
      <c r="AC197" s="221">
        <f t="shared" si="68"/>
        <v>0</v>
      </c>
      <c r="AD197" s="221">
        <f t="shared" si="69"/>
        <v>0</v>
      </c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 t="s">
        <v>161</v>
      </c>
      <c r="AX197" s="205"/>
      <c r="AY197" s="205"/>
      <c r="AZ197" s="205"/>
      <c r="BA197" s="205"/>
      <c r="BB197" s="205"/>
      <c r="BC197" s="212">
        <f>PRIJZEN!F65</f>
        <v>176</v>
      </c>
      <c r="BD197" s="205"/>
      <c r="BE197" s="65" t="s">
        <v>226</v>
      </c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1"/>
      <c r="DF197" s="91"/>
      <c r="DG197" s="409"/>
      <c r="DH197" s="409"/>
      <c r="DI197" s="409"/>
      <c r="DJ197" s="409"/>
      <c r="DK197" s="409"/>
      <c r="DL197" s="409"/>
      <c r="DM197" s="409"/>
      <c r="DN197" s="409"/>
      <c r="DO197" s="409"/>
      <c r="DP197" s="409"/>
      <c r="DQ197" s="409"/>
      <c r="DR197" s="409"/>
      <c r="DS197" s="409"/>
      <c r="DT197" s="409"/>
      <c r="DU197" s="409"/>
      <c r="DV197" s="409"/>
      <c r="DW197" s="409"/>
      <c r="DX197" s="409"/>
      <c r="DY197" s="409"/>
      <c r="DZ197" s="409"/>
      <c r="EA197" s="409"/>
      <c r="EB197" s="409"/>
      <c r="EC197" s="409"/>
      <c r="ED197" s="409"/>
    </row>
    <row r="198" spans="1:134" ht="23.05" customHeight="1">
      <c r="A198" s="63"/>
      <c r="B198" s="1"/>
      <c r="C198" s="157" t="s">
        <v>211</v>
      </c>
      <c r="D198" s="1148" t="s">
        <v>217</v>
      </c>
      <c r="E198" s="1149"/>
      <c r="F198" s="1149"/>
      <c r="G198" s="1149"/>
      <c r="H198" s="1150"/>
      <c r="I198" s="1048" t="s">
        <v>218</v>
      </c>
      <c r="J198" s="1049"/>
      <c r="K198" s="1049"/>
      <c r="L198" s="1049"/>
      <c r="M198" s="1050"/>
      <c r="N198" s="1043" t="str">
        <f t="shared" si="70"/>
        <v/>
      </c>
      <c r="O198" s="1044"/>
      <c r="P198" s="826" t="str">
        <f t="shared" si="62"/>
        <v/>
      </c>
      <c r="Q198" s="216">
        <f t="shared" si="63"/>
        <v>0</v>
      </c>
      <c r="R198" s="216">
        <f t="shared" si="64"/>
        <v>0</v>
      </c>
      <c r="S198" s="216">
        <f t="shared" si="65"/>
        <v>0</v>
      </c>
      <c r="T198" s="216">
        <f t="shared" si="66"/>
        <v>0</v>
      </c>
      <c r="U198" s="216"/>
      <c r="V198" s="216"/>
      <c r="W198" s="220"/>
      <c r="X198" s="216">
        <f t="shared" si="67"/>
        <v>0</v>
      </c>
      <c r="Y198" s="216">
        <f>IF(OR($I198=$BE$195,$I198=$BE$196,$I198=$BE$197,$I198=$BE$198,$I198=$BE$199,$I198=$BE$200,$I198=$BE$201,$I198=$BE$202,$I198=$BE$203,$I198=$BE$204,$I198=$BE$206,$I198=$BE$207,I198=$BE$208,$I198=$BE$209,$I198=$BE$210),PRIJZEN!$I$9,0)</f>
        <v>0</v>
      </c>
      <c r="Z198" s="216">
        <f>IF(OR($I198=$BE$212,$I198=$BE$213,$I198=$BE$214,$I198=$BE$215,$I198=$BE$216),PRIJZEN!$I$10,0)</f>
        <v>0</v>
      </c>
      <c r="AA198" s="205"/>
      <c r="AB198" s="205"/>
      <c r="AC198" s="221">
        <f t="shared" si="68"/>
        <v>0</v>
      </c>
      <c r="AD198" s="221">
        <f t="shared" si="69"/>
        <v>0</v>
      </c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 t="s">
        <v>162</v>
      </c>
      <c r="AX198" s="205"/>
      <c r="AY198" s="205"/>
      <c r="AZ198" s="205"/>
      <c r="BA198" s="205"/>
      <c r="BB198" s="205"/>
      <c r="BC198" s="205" t="s">
        <v>163</v>
      </c>
      <c r="BD198" s="205"/>
      <c r="BE198" s="65" t="s">
        <v>227</v>
      </c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65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1"/>
      <c r="DF198" s="91"/>
      <c r="DG198" s="409"/>
      <c r="DH198" s="409"/>
      <c r="DI198" s="409"/>
      <c r="DJ198" s="409"/>
      <c r="DK198" s="409"/>
      <c r="DL198" s="409"/>
      <c r="DM198" s="409"/>
      <c r="DN198" s="409"/>
      <c r="DO198" s="409"/>
      <c r="DP198" s="409"/>
      <c r="DQ198" s="409"/>
      <c r="DR198" s="409"/>
      <c r="DS198" s="409"/>
      <c r="DT198" s="409"/>
      <c r="DU198" s="409"/>
      <c r="DV198" s="409"/>
      <c r="DW198" s="409"/>
      <c r="DX198" s="409"/>
      <c r="DY198" s="409"/>
      <c r="DZ198" s="409"/>
      <c r="EA198" s="409"/>
      <c r="EB198" s="409"/>
      <c r="EC198" s="409"/>
      <c r="ED198" s="409"/>
    </row>
    <row r="199" spans="1:134" ht="23.05" customHeight="1">
      <c r="A199" s="63"/>
      <c r="B199" s="1"/>
      <c r="C199" s="157" t="s">
        <v>212</v>
      </c>
      <c r="D199" s="1148" t="s">
        <v>217</v>
      </c>
      <c r="E199" s="1149"/>
      <c r="F199" s="1149"/>
      <c r="G199" s="1149"/>
      <c r="H199" s="1150"/>
      <c r="I199" s="1048" t="s">
        <v>218</v>
      </c>
      <c r="J199" s="1049"/>
      <c r="K199" s="1049"/>
      <c r="L199" s="1049"/>
      <c r="M199" s="1050"/>
      <c r="N199" s="1080" t="str">
        <f t="shared" si="70"/>
        <v/>
      </c>
      <c r="O199" s="1068"/>
      <c r="P199" s="826" t="str">
        <f t="shared" si="62"/>
        <v/>
      </c>
      <c r="Q199" s="216">
        <f t="shared" si="63"/>
        <v>0</v>
      </c>
      <c r="R199" s="216">
        <f t="shared" si="64"/>
        <v>0</v>
      </c>
      <c r="S199" s="216">
        <f t="shared" si="65"/>
        <v>0</v>
      </c>
      <c r="T199" s="216">
        <f t="shared" si="66"/>
        <v>0</v>
      </c>
      <c r="U199" s="216"/>
      <c r="V199" s="216"/>
      <c r="W199" s="220"/>
      <c r="X199" s="216">
        <f t="shared" si="67"/>
        <v>0</v>
      </c>
      <c r="Y199" s="216">
        <f>IF(OR($I199=$BE$195,$I199=$BE$196,$I199=$BE$197,$I199=$BE$198,$I199=$BE$199,$I199=$BE$200,$I199=$BE$201,$I199=$BE$202,$I199=$BE$203,$I199=$BE$204,$I199=$BE$206,$I199=$BE$207,I199=$BE$208,$I199=$BE$209,$I199=$BE$210),PRIJZEN!$I$9,0)</f>
        <v>0</v>
      </c>
      <c r="Z199" s="216">
        <f>IF(OR($I199=$BE$212,$I199=$BE$213,$I199=$BE$214,$I199=$BE$215,$I199=$BE$216),PRIJZEN!$I$10,0)</f>
        <v>0</v>
      </c>
      <c r="AA199" s="205"/>
      <c r="AB199" s="205"/>
      <c r="AC199" s="221">
        <f t="shared" si="68"/>
        <v>0</v>
      </c>
      <c r="AD199" s="221">
        <f t="shared" si="69"/>
        <v>0</v>
      </c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C199" s="205"/>
      <c r="BD199" s="205"/>
      <c r="BE199" s="65" t="s">
        <v>229</v>
      </c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1"/>
      <c r="DF199" s="91"/>
      <c r="DG199" s="409"/>
      <c r="DH199" s="409"/>
      <c r="DI199" s="409"/>
      <c r="DJ199" s="409"/>
      <c r="DK199" s="409"/>
      <c r="DL199" s="409"/>
      <c r="DM199" s="409"/>
      <c r="DN199" s="409"/>
      <c r="DO199" s="409"/>
      <c r="DP199" s="409"/>
      <c r="DQ199" s="409"/>
      <c r="DR199" s="409"/>
      <c r="DS199" s="409"/>
      <c r="DT199" s="409"/>
      <c r="DU199" s="409"/>
      <c r="DV199" s="409"/>
      <c r="DW199" s="409"/>
      <c r="DX199" s="409"/>
      <c r="DY199" s="409"/>
      <c r="DZ199" s="409"/>
      <c r="EA199" s="409"/>
      <c r="EB199" s="409"/>
      <c r="EC199" s="409"/>
      <c r="ED199" s="409"/>
    </row>
    <row r="200" spans="1:134" ht="23.05" customHeight="1">
      <c r="A200" s="63"/>
      <c r="B200" s="1"/>
      <c r="C200" s="157" t="s">
        <v>213</v>
      </c>
      <c r="D200" s="1151" t="s">
        <v>217</v>
      </c>
      <c r="E200" s="1152"/>
      <c r="F200" s="1152"/>
      <c r="G200" s="1152"/>
      <c r="H200" s="1153"/>
      <c r="I200" s="1048" t="s">
        <v>218</v>
      </c>
      <c r="J200" s="1049"/>
      <c r="K200" s="1049"/>
      <c r="L200" s="1049"/>
      <c r="M200" s="1050"/>
      <c r="N200" s="1157" t="str">
        <f t="shared" si="70"/>
        <v/>
      </c>
      <c r="O200" s="1158"/>
      <c r="P200" s="826" t="str">
        <f t="shared" si="62"/>
        <v/>
      </c>
      <c r="Q200" s="216">
        <f t="shared" si="63"/>
        <v>0</v>
      </c>
      <c r="R200" s="216">
        <f t="shared" si="64"/>
        <v>0</v>
      </c>
      <c r="S200" s="216">
        <f t="shared" si="65"/>
        <v>0</v>
      </c>
      <c r="T200" s="216">
        <f t="shared" si="66"/>
        <v>0</v>
      </c>
      <c r="U200" s="216"/>
      <c r="V200" s="216"/>
      <c r="W200" s="220"/>
      <c r="X200" s="216">
        <f t="shared" si="67"/>
        <v>0</v>
      </c>
      <c r="Y200" s="216">
        <f>IF(OR($I200=$BE$195,$I200=$BE$196,$I200=$BE$197,$I200=$BE$198,$I200=$BE$199,$I200=$BE$200,$I200=$BE$201,$I200=$BE$202,$I200=$BE$203,$I200=$BE$204,$I200=$BE$206,$I200=$BE$207,I200=$BE$208,$I200=$BE$209,$I200=$BE$210),PRIJZEN!$I$9,0)</f>
        <v>0</v>
      </c>
      <c r="Z200" s="216">
        <f>IF(OR($I200=$BE$212,$I200=$BE$213,$I200=$BE$214,$I200=$BE$215,$I200=$BE$216),PRIJZEN!$I$10,0)</f>
        <v>0</v>
      </c>
      <c r="AA200" s="205"/>
      <c r="AB200" s="205"/>
      <c r="AC200" s="221">
        <f t="shared" si="68"/>
        <v>0</v>
      </c>
      <c r="AD200" s="221">
        <f t="shared" si="69"/>
        <v>0</v>
      </c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5"/>
      <c r="AR200" s="205"/>
      <c r="AS200" s="205"/>
      <c r="AT200" s="205"/>
      <c r="AU200" s="205"/>
      <c r="AV200" s="205"/>
      <c r="AW200" s="205" t="s">
        <v>126</v>
      </c>
      <c r="AX200" s="205"/>
      <c r="AY200" s="205"/>
      <c r="AZ200" s="205"/>
      <c r="BA200" s="205"/>
      <c r="BB200" s="205"/>
      <c r="BC200" s="205"/>
      <c r="BD200" s="205"/>
      <c r="BE200" s="65" t="s">
        <v>230</v>
      </c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1"/>
      <c r="DF200" s="91"/>
      <c r="DG200" s="409"/>
      <c r="DH200" s="409"/>
      <c r="DI200" s="409"/>
      <c r="DJ200" s="409"/>
      <c r="DK200" s="409"/>
      <c r="DL200" s="409"/>
      <c r="DM200" s="409"/>
      <c r="DN200" s="409"/>
      <c r="DO200" s="409"/>
      <c r="DP200" s="409"/>
      <c r="DQ200" s="409"/>
      <c r="DR200" s="409"/>
      <c r="DS200" s="409"/>
      <c r="DT200" s="409"/>
      <c r="DU200" s="409"/>
      <c r="DV200" s="409"/>
      <c r="DW200" s="409"/>
      <c r="DX200" s="409"/>
      <c r="DY200" s="409"/>
      <c r="DZ200" s="409"/>
      <c r="EA200" s="409"/>
      <c r="EB200" s="409"/>
      <c r="EC200" s="409"/>
      <c r="ED200" s="409"/>
    </row>
    <row r="201" spans="1:134" ht="23.05" customHeight="1">
      <c r="A201" s="63"/>
      <c r="B201" s="1"/>
      <c r="C201" s="157" t="s">
        <v>214</v>
      </c>
      <c r="D201" s="1154" t="s">
        <v>217</v>
      </c>
      <c r="E201" s="1155"/>
      <c r="F201" s="1155"/>
      <c r="G201" s="1155"/>
      <c r="H201" s="1156"/>
      <c r="I201" s="1048" t="s">
        <v>218</v>
      </c>
      <c r="J201" s="1049"/>
      <c r="K201" s="1049"/>
      <c r="L201" s="1049"/>
      <c r="M201" s="1050"/>
      <c r="N201" s="1043" t="str">
        <f t="shared" si="70"/>
        <v/>
      </c>
      <c r="O201" s="1044"/>
      <c r="P201" s="827" t="str">
        <f t="shared" si="62"/>
        <v/>
      </c>
      <c r="Q201" s="216">
        <f t="shared" si="63"/>
        <v>0</v>
      </c>
      <c r="R201" s="216">
        <f t="shared" si="64"/>
        <v>0</v>
      </c>
      <c r="S201" s="216">
        <f t="shared" si="65"/>
        <v>0</v>
      </c>
      <c r="T201" s="216">
        <f t="shared" si="66"/>
        <v>0</v>
      </c>
      <c r="U201" s="216"/>
      <c r="V201" s="216"/>
      <c r="W201" s="220"/>
      <c r="X201" s="216">
        <f t="shared" si="67"/>
        <v>0</v>
      </c>
      <c r="Y201" s="216">
        <f>IF(OR($I201=$BE$195,$I201=$BE$196,$I201=$BE$197,$I201=$BE$198,$I201=$BE$199,$I201=$BE$200,$I201=$BE$201,$I201=$BE$202,$I201=$BE$203,$I201=$BE$204,$I201=$BE$206,$I201=$BE$207,I201=$BE$208,$I201=$BE$209,$I201=$BE$210),PRIJZEN!$I$9,0)</f>
        <v>0</v>
      </c>
      <c r="Z201" s="216">
        <f>IF(OR($I201=$BE$212,$I201=$BE$213,$I201=$BE$214,$I201=$BE$215,$I201=$BE$216),PRIJZEN!$I$10,0)</f>
        <v>0</v>
      </c>
      <c r="AA201" s="205"/>
      <c r="AB201" s="205"/>
      <c r="AC201" s="221">
        <f t="shared" si="68"/>
        <v>0</v>
      </c>
      <c r="AD201" s="221">
        <f t="shared" si="69"/>
        <v>0</v>
      </c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C201" s="205"/>
      <c r="BD201" s="205"/>
      <c r="BE201" s="65" t="s">
        <v>232</v>
      </c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1"/>
      <c r="DF201" s="91"/>
      <c r="DG201" s="409"/>
      <c r="DH201" s="409"/>
      <c r="DI201" s="409"/>
      <c r="DJ201" s="409"/>
      <c r="DK201" s="409"/>
      <c r="DL201" s="409"/>
      <c r="DM201" s="409"/>
      <c r="DN201" s="409"/>
      <c r="DO201" s="409"/>
      <c r="DP201" s="409"/>
      <c r="DQ201" s="409"/>
      <c r="DR201" s="409"/>
      <c r="DS201" s="409"/>
      <c r="DT201" s="409"/>
      <c r="DU201" s="409"/>
      <c r="DV201" s="409"/>
      <c r="DW201" s="409"/>
      <c r="DX201" s="409"/>
      <c r="DY201" s="409"/>
      <c r="DZ201" s="409"/>
      <c r="EA201" s="409"/>
      <c r="EB201" s="409"/>
      <c r="EC201" s="409"/>
      <c r="ED201" s="409"/>
    </row>
    <row r="202" spans="1:134" ht="23.05" customHeight="1">
      <c r="A202" s="63"/>
      <c r="B202" s="1"/>
      <c r="C202" s="157" t="s">
        <v>215</v>
      </c>
      <c r="D202" s="1154" t="s">
        <v>217</v>
      </c>
      <c r="E202" s="1155"/>
      <c r="F202" s="1155"/>
      <c r="G202" s="1155"/>
      <c r="H202" s="1156"/>
      <c r="I202" s="1048" t="s">
        <v>218</v>
      </c>
      <c r="J202" s="1049"/>
      <c r="K202" s="1049"/>
      <c r="L202" s="1049"/>
      <c r="M202" s="1050"/>
      <c r="N202" s="1080" t="str">
        <f t="shared" si="70"/>
        <v/>
      </c>
      <c r="O202" s="1068"/>
      <c r="P202" s="825" t="str">
        <f t="shared" si="62"/>
        <v/>
      </c>
      <c r="Q202" s="216">
        <f t="shared" si="63"/>
        <v>0</v>
      </c>
      <c r="R202" s="216">
        <f t="shared" si="64"/>
        <v>0</v>
      </c>
      <c r="S202" s="216">
        <f t="shared" si="65"/>
        <v>0</v>
      </c>
      <c r="T202" s="216">
        <f t="shared" si="66"/>
        <v>0</v>
      </c>
      <c r="U202" s="216"/>
      <c r="V202" s="216"/>
      <c r="W202" s="220"/>
      <c r="X202" s="216">
        <f t="shared" si="67"/>
        <v>0</v>
      </c>
      <c r="Y202" s="216">
        <f>IF(OR($I202=$BE$195,$I202=$BE$196,$I202=$BE$197,$I202=$BE$198,$I202=$BE$199,$I202=$BE$200,$I202=$BE$201,$I202=$BE$202,$I202=$BE$203,$I202=$BE$204,$I202=$BE$206,$I202=$BE$207,I202=$BE$208,$I202=$BE$209,$I202=$BE$210),PRIJZEN!$I$9,0)</f>
        <v>0</v>
      </c>
      <c r="Z202" s="216">
        <f>IF(OR($I202=$BE$212,$I202=$BE$213,$I202=$BE$214,$I202=$BE$215,$I202=$BE$216),PRIJZEN!$I$10,0)</f>
        <v>0</v>
      </c>
      <c r="AA202" s="205"/>
      <c r="AB202" s="205"/>
      <c r="AC202" s="221">
        <f t="shared" si="68"/>
        <v>0</v>
      </c>
      <c r="AD202" s="221">
        <f t="shared" si="69"/>
        <v>0</v>
      </c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>
        <v>1</v>
      </c>
      <c r="AX202" s="205"/>
      <c r="AY202" s="205"/>
      <c r="AZ202" s="205"/>
      <c r="BA202" s="205"/>
      <c r="BB202" s="205"/>
      <c r="BC202" s="205"/>
      <c r="BD202" s="205"/>
      <c r="BE202" s="65" t="s">
        <v>233</v>
      </c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1"/>
      <c r="DF202" s="91"/>
      <c r="DG202" s="409"/>
      <c r="DH202" s="409"/>
      <c r="DI202" s="409"/>
      <c r="DJ202" s="409"/>
      <c r="DK202" s="409"/>
      <c r="DL202" s="409"/>
      <c r="DM202" s="409"/>
      <c r="DN202" s="409"/>
      <c r="DO202" s="409"/>
      <c r="DP202" s="409"/>
      <c r="DQ202" s="409"/>
      <c r="DR202" s="409"/>
      <c r="DS202" s="409"/>
      <c r="DT202" s="409"/>
      <c r="DU202" s="409"/>
      <c r="DV202" s="409"/>
      <c r="DW202" s="409"/>
      <c r="DX202" s="409"/>
      <c r="DY202" s="409"/>
      <c r="DZ202" s="409"/>
      <c r="EA202" s="409"/>
      <c r="EB202" s="409"/>
      <c r="EC202" s="409"/>
      <c r="ED202" s="409"/>
    </row>
    <row r="203" spans="1:134" ht="23.05" customHeight="1">
      <c r="A203" s="63"/>
      <c r="B203" s="1"/>
      <c r="C203" s="157" t="s">
        <v>216</v>
      </c>
      <c r="D203" s="1154" t="s">
        <v>217</v>
      </c>
      <c r="E203" s="1155"/>
      <c r="F203" s="1155"/>
      <c r="G203" s="1155"/>
      <c r="H203" s="1156"/>
      <c r="I203" s="1048" t="s">
        <v>218</v>
      </c>
      <c r="J203" s="1049"/>
      <c r="K203" s="1049"/>
      <c r="L203" s="1049"/>
      <c r="M203" s="1050"/>
      <c r="N203" s="1043" t="str">
        <f t="shared" si="70"/>
        <v/>
      </c>
      <c r="O203" s="1044"/>
      <c r="P203" s="827" t="str">
        <f t="shared" si="62"/>
        <v/>
      </c>
      <c r="Q203" s="216">
        <f t="shared" si="63"/>
        <v>0</v>
      </c>
      <c r="R203" s="216">
        <f t="shared" si="64"/>
        <v>0</v>
      </c>
      <c r="S203" s="216">
        <f t="shared" si="65"/>
        <v>0</v>
      </c>
      <c r="T203" s="216">
        <f t="shared" si="66"/>
        <v>0</v>
      </c>
      <c r="U203" s="216"/>
      <c r="V203" s="216"/>
      <c r="W203" s="220"/>
      <c r="X203" s="216">
        <f t="shared" si="67"/>
        <v>0</v>
      </c>
      <c r="Y203" s="216">
        <f>IF(OR($I203=$BE$195,$I203=$BE$196,$I203=$BE$197,$I203=$BE$198,$I203=$BE$199,$I203=$BE$200,$I203=$BE$201,$I203=$BE$202,$I203=$BE$203,$I203=$BE$204,$I203=$BE$206,$I203=$BE$207,I203=$BE$208,$I203=$BE$209,$I203=$BE$210),PRIJZEN!$I$9,0)</f>
        <v>0</v>
      </c>
      <c r="Z203" s="216">
        <f>IF(OR($I203=$BE$212,$I203=$BE$213,$I203=$BE$214,$I203=$BE$215,$I203=$BE$216),PRIJZEN!$I$10,0)</f>
        <v>0</v>
      </c>
      <c r="AA203" s="205"/>
      <c r="AB203" s="205"/>
      <c r="AC203" s="221">
        <f t="shared" si="68"/>
        <v>0</v>
      </c>
      <c r="AD203" s="221">
        <f t="shared" si="69"/>
        <v>0</v>
      </c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>
        <v>2</v>
      </c>
      <c r="AX203" s="205"/>
      <c r="AY203" s="205"/>
      <c r="AZ203" s="205"/>
      <c r="BA203" s="205"/>
      <c r="BB203" s="205"/>
      <c r="BC203" s="205"/>
      <c r="BD203" s="205"/>
      <c r="BE203" s="65" t="s">
        <v>234</v>
      </c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1"/>
      <c r="DF203" s="91"/>
      <c r="DG203" s="409"/>
      <c r="DH203" s="409"/>
      <c r="DI203" s="409"/>
      <c r="DJ203" s="409"/>
      <c r="DK203" s="409"/>
      <c r="DL203" s="409"/>
      <c r="DM203" s="409"/>
      <c r="DN203" s="409"/>
      <c r="DO203" s="409"/>
      <c r="DP203" s="409"/>
      <c r="DQ203" s="409"/>
      <c r="DR203" s="409"/>
      <c r="DS203" s="409"/>
      <c r="DT203" s="409"/>
      <c r="DU203" s="409"/>
      <c r="DV203" s="409"/>
      <c r="DW203" s="409"/>
      <c r="DX203" s="409"/>
      <c r="DY203" s="409"/>
      <c r="DZ203" s="409"/>
      <c r="EA203" s="409"/>
      <c r="EB203" s="409"/>
      <c r="EC203" s="409"/>
      <c r="ED203" s="409"/>
    </row>
    <row r="204" spans="1:134" ht="23.05" customHeight="1">
      <c r="A204" s="63"/>
      <c r="B204" s="1"/>
      <c r="C204" s="157" t="s">
        <v>244</v>
      </c>
      <c r="D204" s="1154" t="s">
        <v>217</v>
      </c>
      <c r="E204" s="1155"/>
      <c r="F204" s="1155"/>
      <c r="G204" s="1155"/>
      <c r="H204" s="1156"/>
      <c r="I204" s="1048" t="s">
        <v>218</v>
      </c>
      <c r="J204" s="1049"/>
      <c r="K204" s="1049"/>
      <c r="L204" s="1049"/>
      <c r="M204" s="1050"/>
      <c r="N204" s="1080" t="str">
        <f t="shared" si="70"/>
        <v/>
      </c>
      <c r="O204" s="1068"/>
      <c r="P204" s="827" t="str">
        <f t="shared" si="62"/>
        <v/>
      </c>
      <c r="Q204" s="216">
        <f t="shared" si="63"/>
        <v>0</v>
      </c>
      <c r="R204" s="216">
        <f t="shared" si="64"/>
        <v>0</v>
      </c>
      <c r="S204" s="216">
        <f t="shared" si="65"/>
        <v>0</v>
      </c>
      <c r="T204" s="216">
        <f t="shared" si="66"/>
        <v>0</v>
      </c>
      <c r="U204" s="216"/>
      <c r="V204" s="216"/>
      <c r="W204" s="220"/>
      <c r="X204" s="216">
        <f t="shared" si="67"/>
        <v>0</v>
      </c>
      <c r="Y204" s="216">
        <f>IF(OR($I204=$BE$195,$I204=$BE$196,$I204=$BE$197,$I204=$BE$198,$I204=$BE$199,$I204=$BE$200,$I204=$BE$201,$I204=$BE$202,$I204=$BE$203,$I204=$BE$204,$I204=$BE$206,$I204=$BE$207,I204=$BE$208,$I204=$BE$209,$I204=$BE$210),PRIJZEN!$I$9,0)</f>
        <v>0</v>
      </c>
      <c r="Z204" s="216">
        <f>IF(OR($I204=$BE$212,$I204=$BE$213,$I204=$BE$214,$I204=$BE$215,$I204=$BE$216),PRIJZEN!$I$10,0)</f>
        <v>0</v>
      </c>
      <c r="AA204" s="205"/>
      <c r="AB204" s="205"/>
      <c r="AC204" s="221">
        <f t="shared" si="68"/>
        <v>0</v>
      </c>
      <c r="AD204" s="221">
        <f t="shared" si="69"/>
        <v>0</v>
      </c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>
        <v>3</v>
      </c>
      <c r="AX204" s="205"/>
      <c r="AY204" s="205"/>
      <c r="AZ204" s="205"/>
      <c r="BA204" s="205"/>
      <c r="BB204" s="205"/>
      <c r="BC204" s="205"/>
      <c r="BD204" s="20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1"/>
      <c r="DF204" s="91"/>
      <c r="DG204" s="409"/>
      <c r="DH204" s="409"/>
      <c r="DI204" s="409"/>
      <c r="DJ204" s="409"/>
      <c r="DK204" s="409"/>
      <c r="DL204" s="409"/>
      <c r="DM204" s="409"/>
      <c r="DN204" s="409"/>
      <c r="DO204" s="409"/>
      <c r="DP204" s="409"/>
      <c r="DQ204" s="409"/>
      <c r="DR204" s="409"/>
      <c r="DS204" s="409"/>
      <c r="DT204" s="409"/>
      <c r="DU204" s="409"/>
      <c r="DV204" s="409"/>
      <c r="DW204" s="409"/>
      <c r="DX204" s="409"/>
      <c r="DY204" s="409"/>
      <c r="DZ204" s="409"/>
      <c r="EA204" s="409"/>
      <c r="EB204" s="409"/>
      <c r="EC204" s="409"/>
      <c r="ED204" s="409"/>
    </row>
    <row r="205" spans="1:134" ht="23.05" customHeight="1">
      <c r="A205" s="63"/>
      <c r="B205" s="1"/>
      <c r="C205" s="157" t="s">
        <v>245</v>
      </c>
      <c r="D205" s="1154" t="s">
        <v>217</v>
      </c>
      <c r="E205" s="1155"/>
      <c r="F205" s="1155"/>
      <c r="G205" s="1155"/>
      <c r="H205" s="1156"/>
      <c r="I205" s="1048" t="s">
        <v>218</v>
      </c>
      <c r="J205" s="1049"/>
      <c r="K205" s="1049"/>
      <c r="L205" s="1049"/>
      <c r="M205" s="1050"/>
      <c r="N205" s="1157" t="str">
        <f t="shared" si="70"/>
        <v/>
      </c>
      <c r="O205" s="1158"/>
      <c r="P205" s="827" t="str">
        <f t="shared" si="62"/>
        <v/>
      </c>
      <c r="Q205" s="216">
        <f t="shared" si="63"/>
        <v>0</v>
      </c>
      <c r="R205" s="216">
        <f t="shared" si="64"/>
        <v>0</v>
      </c>
      <c r="S205" s="216">
        <f t="shared" si="65"/>
        <v>0</v>
      </c>
      <c r="T205" s="216">
        <f t="shared" si="66"/>
        <v>0</v>
      </c>
      <c r="U205" s="216"/>
      <c r="V205" s="216"/>
      <c r="W205" s="220"/>
      <c r="X205" s="216">
        <f t="shared" si="67"/>
        <v>0</v>
      </c>
      <c r="Y205" s="216">
        <f>IF(OR($I205=$BE$195,$I205=$BE$196,$I205=$BE$197,$I205=$BE$198,$I205=$BE$199,$I205=$BE$200,$I205=$BE$201,$I205=$BE$202,$I205=$BE$203,$I205=$BE$204,$I205=$BE$206,$I205=$BE$207,I205=$BE$208,$I205=$BE$209,$I205=$BE$210),PRIJZEN!$I$9,0)</f>
        <v>0</v>
      </c>
      <c r="Z205" s="216">
        <f>IF(OR($I205=$BE$212,$I205=$BE$213,$I205=$BE$214,$I205=$BE$215,$I205=$BE$216),PRIJZEN!$I$10,0)</f>
        <v>0</v>
      </c>
      <c r="AA205" s="205"/>
      <c r="AB205" s="205"/>
      <c r="AC205" s="221">
        <f t="shared" si="68"/>
        <v>0</v>
      </c>
      <c r="AD205" s="221">
        <f t="shared" si="69"/>
        <v>0</v>
      </c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>
        <v>4</v>
      </c>
      <c r="AX205" s="205"/>
      <c r="AY205" s="205"/>
      <c r="AZ205" s="205"/>
      <c r="BA205" s="205"/>
      <c r="BB205" s="205"/>
      <c r="BC205" s="205"/>
      <c r="BD205" s="20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1"/>
      <c r="DF205" s="91"/>
      <c r="DG205" s="409"/>
      <c r="DH205" s="409"/>
      <c r="DI205" s="409"/>
      <c r="DJ205" s="409"/>
      <c r="DK205" s="409"/>
      <c r="DL205" s="409"/>
      <c r="DM205" s="409"/>
      <c r="DN205" s="409"/>
      <c r="DO205" s="409"/>
      <c r="DP205" s="409"/>
      <c r="DQ205" s="409"/>
      <c r="DR205" s="409"/>
      <c r="DS205" s="409"/>
      <c r="DT205" s="409"/>
      <c r="DU205" s="409"/>
      <c r="DV205" s="409"/>
      <c r="DW205" s="409"/>
      <c r="DX205" s="409"/>
      <c r="DY205" s="409"/>
      <c r="DZ205" s="409"/>
      <c r="EA205" s="409"/>
      <c r="EB205" s="409"/>
      <c r="EC205" s="409"/>
      <c r="ED205" s="409"/>
    </row>
    <row r="206" spans="1:134" ht="23.05" customHeight="1">
      <c r="A206" s="63"/>
      <c r="B206" s="1"/>
      <c r="C206" s="157" t="s">
        <v>246</v>
      </c>
      <c r="D206" s="1148" t="s">
        <v>217</v>
      </c>
      <c r="E206" s="1149"/>
      <c r="F206" s="1149"/>
      <c r="G206" s="1149"/>
      <c r="H206" s="1150"/>
      <c r="I206" s="1048" t="s">
        <v>218</v>
      </c>
      <c r="J206" s="1049"/>
      <c r="K206" s="1049"/>
      <c r="L206" s="1049"/>
      <c r="M206" s="1050"/>
      <c r="N206" s="1157" t="str">
        <f t="shared" si="70"/>
        <v/>
      </c>
      <c r="O206" s="1158"/>
      <c r="P206" s="825" t="str">
        <f t="shared" si="62"/>
        <v/>
      </c>
      <c r="Q206" s="216">
        <f t="shared" si="63"/>
        <v>0</v>
      </c>
      <c r="R206" s="216">
        <f t="shared" si="64"/>
        <v>0</v>
      </c>
      <c r="S206" s="216">
        <f t="shared" si="65"/>
        <v>0</v>
      </c>
      <c r="T206" s="216">
        <f t="shared" si="66"/>
        <v>0</v>
      </c>
      <c r="U206" s="216"/>
      <c r="V206" s="216"/>
      <c r="W206" s="220"/>
      <c r="X206" s="216">
        <f t="shared" si="67"/>
        <v>0</v>
      </c>
      <c r="Y206" s="216">
        <f>IF(OR($I206=$BE$195,$I206=$BE$196,$I206=$BE$197,$I206=$BE$198,$I206=$BE$199,$I206=$BE$200,$I206=$BE$201,$I206=$BE$202,$I206=$BE$203,$I206=$BE$204,$I206=$BE$206,$I206=$BE$207,I206=$BE$208,$I206=$BE$209,$I206=$BE$210),PRIJZEN!$I$9,0)</f>
        <v>0</v>
      </c>
      <c r="Z206" s="216">
        <f>IF(OR($I206=$BE$212,$I206=$BE$213,$I206=$BE$214,$I206=$BE$215,$I206=$BE$216),PRIJZEN!$I$10,0)</f>
        <v>0</v>
      </c>
      <c r="AA206" s="205"/>
      <c r="AB206" s="205"/>
      <c r="AC206" s="221">
        <f t="shared" si="68"/>
        <v>0</v>
      </c>
      <c r="AD206" s="221">
        <f t="shared" si="69"/>
        <v>0</v>
      </c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>
        <v>5</v>
      </c>
      <c r="AX206" s="205"/>
      <c r="AY206" s="205"/>
      <c r="AZ206" s="205"/>
      <c r="BA206" s="205"/>
      <c r="BB206" s="205"/>
      <c r="BC206" s="205"/>
      <c r="BD206" s="205"/>
      <c r="BE206" s="65" t="s">
        <v>673</v>
      </c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1"/>
      <c r="DF206" s="91"/>
      <c r="DG206" s="409"/>
      <c r="DH206" s="409"/>
      <c r="DI206" s="409"/>
      <c r="DJ206" s="409"/>
      <c r="DK206" s="409"/>
      <c r="DL206" s="409"/>
      <c r="DM206" s="409"/>
      <c r="DN206" s="409"/>
      <c r="DO206" s="409"/>
      <c r="DP206" s="409"/>
      <c r="DQ206" s="409"/>
      <c r="DR206" s="409"/>
      <c r="DS206" s="409"/>
      <c r="DT206" s="409"/>
      <c r="DU206" s="409"/>
      <c r="DV206" s="409"/>
      <c r="DW206" s="409"/>
      <c r="DX206" s="409"/>
      <c r="DY206" s="409"/>
      <c r="DZ206" s="409"/>
      <c r="EA206" s="409"/>
      <c r="EB206" s="409"/>
      <c r="EC206" s="409"/>
      <c r="ED206" s="409"/>
    </row>
    <row r="207" spans="1:134" ht="23.05" customHeight="1">
      <c r="A207" s="63"/>
      <c r="B207" s="1"/>
      <c r="C207" s="157" t="s">
        <v>247</v>
      </c>
      <c r="D207" s="1151" t="s">
        <v>217</v>
      </c>
      <c r="E207" s="1152"/>
      <c r="F207" s="1152"/>
      <c r="G207" s="1152"/>
      <c r="H207" s="1153"/>
      <c r="I207" s="1048" t="s">
        <v>218</v>
      </c>
      <c r="J207" s="1049"/>
      <c r="K207" s="1049"/>
      <c r="L207" s="1049"/>
      <c r="M207" s="1050"/>
      <c r="N207" s="1157" t="str">
        <f t="shared" si="70"/>
        <v/>
      </c>
      <c r="O207" s="1158"/>
      <c r="P207" s="826" t="str">
        <f t="shared" si="62"/>
        <v/>
      </c>
      <c r="Q207" s="216">
        <f t="shared" si="63"/>
        <v>0</v>
      </c>
      <c r="R207" s="216">
        <f t="shared" si="64"/>
        <v>0</v>
      </c>
      <c r="S207" s="216">
        <f t="shared" si="65"/>
        <v>0</v>
      </c>
      <c r="T207" s="216">
        <f t="shared" si="66"/>
        <v>0</v>
      </c>
      <c r="U207" s="216"/>
      <c r="V207" s="216"/>
      <c r="W207" s="220"/>
      <c r="X207" s="216">
        <f t="shared" si="67"/>
        <v>0</v>
      </c>
      <c r="Y207" s="216">
        <f>IF(OR($I207=$BE$195,$I207=$BE$196,$I207=$BE$197,$I207=$BE$198,$I207=$BE$199,$I207=$BE$200,$I207=$BE$201,$I207=$BE$202,$I207=$BE$203,$I207=$BE$204,$I207=$BE$206,$I207=$BE$207,I207=$BE$208,$I207=$BE$209,$I207=$BE$210),PRIJZEN!$I$9,0)</f>
        <v>0</v>
      </c>
      <c r="Z207" s="216">
        <f>IF(OR($I207=$BE$212,$I207=$BE$213,$I207=$BE$214,$I207=$BE$215,$I207=$BE$216),PRIJZEN!$I$10,0)</f>
        <v>0</v>
      </c>
      <c r="AA207" s="205"/>
      <c r="AB207" s="205"/>
      <c r="AC207" s="221">
        <f t="shared" si="68"/>
        <v>0</v>
      </c>
      <c r="AD207" s="221">
        <f t="shared" si="69"/>
        <v>0</v>
      </c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>
        <v>6</v>
      </c>
      <c r="AX207" s="205"/>
      <c r="AY207" s="205"/>
      <c r="AZ207" s="205"/>
      <c r="BA207" s="205"/>
      <c r="BB207" s="205"/>
      <c r="BC207" s="205"/>
      <c r="BD207" s="205"/>
      <c r="BE207" s="65" t="s">
        <v>635</v>
      </c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1"/>
      <c r="DF207" s="91"/>
      <c r="DG207" s="409"/>
      <c r="DH207" s="409"/>
      <c r="DI207" s="409"/>
      <c r="DJ207" s="409"/>
      <c r="DK207" s="409"/>
      <c r="DL207" s="409"/>
      <c r="DM207" s="409"/>
      <c r="DN207" s="409"/>
      <c r="DO207" s="409"/>
      <c r="DP207" s="409"/>
      <c r="DQ207" s="409"/>
      <c r="DR207" s="409"/>
      <c r="DS207" s="409"/>
      <c r="DT207" s="409"/>
      <c r="DU207" s="409"/>
      <c r="DV207" s="409"/>
      <c r="DW207" s="409"/>
      <c r="DX207" s="409"/>
      <c r="DY207" s="409"/>
      <c r="DZ207" s="409"/>
      <c r="EA207" s="409"/>
      <c r="EB207" s="409"/>
      <c r="EC207" s="409"/>
      <c r="ED207" s="409"/>
    </row>
    <row r="208" spans="1:134" ht="23.05" customHeight="1">
      <c r="A208" s="63"/>
      <c r="B208" s="1"/>
      <c r="C208" s="157" t="s">
        <v>248</v>
      </c>
      <c r="D208" s="1154" t="s">
        <v>217</v>
      </c>
      <c r="E208" s="1155"/>
      <c r="F208" s="1155"/>
      <c r="G208" s="1155"/>
      <c r="H208" s="1156"/>
      <c r="I208" s="1048" t="s">
        <v>218</v>
      </c>
      <c r="J208" s="1049"/>
      <c r="K208" s="1049"/>
      <c r="L208" s="1049"/>
      <c r="M208" s="1050"/>
      <c r="N208" s="1043" t="str">
        <f t="shared" si="70"/>
        <v/>
      </c>
      <c r="O208" s="1044"/>
      <c r="P208" s="827" t="str">
        <f t="shared" si="62"/>
        <v/>
      </c>
      <c r="Q208" s="216">
        <f t="shared" si="63"/>
        <v>0</v>
      </c>
      <c r="R208" s="216">
        <f t="shared" si="64"/>
        <v>0</v>
      </c>
      <c r="S208" s="216">
        <f t="shared" si="65"/>
        <v>0</v>
      </c>
      <c r="T208" s="216">
        <f t="shared" si="66"/>
        <v>0</v>
      </c>
      <c r="U208" s="216"/>
      <c r="V208" s="216"/>
      <c r="W208" s="220"/>
      <c r="X208" s="216">
        <f t="shared" si="67"/>
        <v>0</v>
      </c>
      <c r="Y208" s="216">
        <f>IF(OR($I208=$BE$195,$I208=$BE$196,$I208=$BE$197,$I208=$BE$198,$I208=$BE$199,$I208=$BE$200,$I208=$BE$201,$I208=$BE$202,$I208=$BE$203,$I208=$BE$204,$I208=$BE$206,$I208=$BE$207,I208=$BE$208,$I208=$BE$209,$I208=$BE$210),PRIJZEN!$I$9,0)</f>
        <v>0</v>
      </c>
      <c r="Z208" s="216">
        <f>IF(OR($I208=$BE$212,$I208=$BE$213,$I208=$BE$214,$I208=$BE$215,$I208=$BE$216),PRIJZEN!$I$10,0)</f>
        <v>0</v>
      </c>
      <c r="AA208" s="205"/>
      <c r="AB208" s="205"/>
      <c r="AC208" s="221">
        <f t="shared" si="68"/>
        <v>0</v>
      </c>
      <c r="AD208" s="221">
        <f t="shared" si="69"/>
        <v>0</v>
      </c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>
        <v>7</v>
      </c>
      <c r="AX208" s="205"/>
      <c r="AY208" s="205"/>
      <c r="AZ208" s="205"/>
      <c r="BA208" s="205"/>
      <c r="BB208" s="205"/>
      <c r="BC208" s="205"/>
      <c r="BD208" s="205"/>
      <c r="BE208" s="65" t="s">
        <v>228</v>
      </c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1"/>
      <c r="DF208" s="91"/>
      <c r="DG208" s="409"/>
      <c r="DH208" s="409"/>
      <c r="DI208" s="409"/>
      <c r="DJ208" s="409"/>
      <c r="DK208" s="409"/>
      <c r="DL208" s="409"/>
      <c r="DM208" s="409"/>
      <c r="DN208" s="409"/>
      <c r="DO208" s="409"/>
      <c r="DP208" s="409"/>
      <c r="DQ208" s="409"/>
      <c r="DR208" s="409"/>
      <c r="DS208" s="409"/>
      <c r="DT208" s="409"/>
      <c r="DU208" s="409"/>
      <c r="DV208" s="409"/>
      <c r="DW208" s="409"/>
      <c r="DX208" s="409"/>
      <c r="DY208" s="409"/>
      <c r="DZ208" s="409"/>
      <c r="EA208" s="409"/>
      <c r="EB208" s="409"/>
      <c r="EC208" s="409"/>
      <c r="ED208" s="409"/>
    </row>
    <row r="209" spans="1:134" ht="23.05" customHeight="1">
      <c r="A209" s="63"/>
      <c r="B209" s="1"/>
      <c r="C209" s="157" t="s">
        <v>249</v>
      </c>
      <c r="D209" s="1154" t="s">
        <v>217</v>
      </c>
      <c r="E209" s="1155"/>
      <c r="F209" s="1155"/>
      <c r="G209" s="1155"/>
      <c r="H209" s="1156"/>
      <c r="I209" s="1048" t="s">
        <v>218</v>
      </c>
      <c r="J209" s="1049"/>
      <c r="K209" s="1049"/>
      <c r="L209" s="1049"/>
      <c r="M209" s="1050"/>
      <c r="N209" s="1080" t="str">
        <f t="shared" si="70"/>
        <v/>
      </c>
      <c r="O209" s="1068"/>
      <c r="P209" s="825" t="str">
        <f t="shared" si="62"/>
        <v/>
      </c>
      <c r="Q209" s="216">
        <f t="shared" si="63"/>
        <v>0</v>
      </c>
      <c r="R209" s="216">
        <f t="shared" si="64"/>
        <v>0</v>
      </c>
      <c r="S209" s="216">
        <f t="shared" si="65"/>
        <v>0</v>
      </c>
      <c r="T209" s="216">
        <f t="shared" si="66"/>
        <v>0</v>
      </c>
      <c r="U209" s="216"/>
      <c r="V209" s="216"/>
      <c r="W209" s="220"/>
      <c r="X209" s="216">
        <f t="shared" si="67"/>
        <v>0</v>
      </c>
      <c r="Y209" s="216">
        <f>IF(OR($I209=$BE$195,$I209=$BE$196,$I209=$BE$197,$I209=$BE$198,$I209=$BE$199,$I209=$BE$200,$I209=$BE$201,$I209=$BE$202,$I209=$BE$203,$I209=$BE$204,$I209=$BE$206,$I209=$BE$207,I209=$BE$208,$I209=$BE$209,$I209=$BE$210),PRIJZEN!$I$9,0)</f>
        <v>0</v>
      </c>
      <c r="Z209" s="216">
        <f>IF(OR($I209=$BE$212,$I209=$BE$213,$I209=$BE$214,$I209=$BE$215,$I209=$BE$216),PRIJZEN!$I$10,0)</f>
        <v>0</v>
      </c>
      <c r="AA209" s="205"/>
      <c r="AB209" s="205"/>
      <c r="AC209" s="221">
        <f t="shared" si="68"/>
        <v>0</v>
      </c>
      <c r="AD209" s="221">
        <f t="shared" si="69"/>
        <v>0</v>
      </c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>
        <v>8</v>
      </c>
      <c r="AX209" s="205"/>
      <c r="AY209" s="205"/>
      <c r="AZ209" s="205"/>
      <c r="BA209" s="205"/>
      <c r="BB209" s="205"/>
      <c r="BC209" s="205"/>
      <c r="BD209" s="205"/>
      <c r="BE209" s="65" t="s">
        <v>231</v>
      </c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1"/>
      <c r="DF209" s="91"/>
      <c r="DG209" s="409"/>
      <c r="DH209" s="409"/>
      <c r="DI209" s="409"/>
      <c r="DJ209" s="409"/>
      <c r="DK209" s="409"/>
      <c r="DL209" s="409"/>
      <c r="DM209" s="409"/>
      <c r="DN209" s="409"/>
      <c r="DO209" s="409"/>
      <c r="DP209" s="409"/>
      <c r="DQ209" s="409"/>
      <c r="DR209" s="409"/>
      <c r="DS209" s="409"/>
      <c r="DT209" s="409"/>
      <c r="DU209" s="409"/>
      <c r="DV209" s="409"/>
      <c r="DW209" s="409"/>
      <c r="DX209" s="409"/>
      <c r="DY209" s="409"/>
      <c r="DZ209" s="409"/>
      <c r="EA209" s="409"/>
      <c r="EB209" s="409"/>
      <c r="EC209" s="409"/>
      <c r="ED209" s="409"/>
    </row>
    <row r="210" spans="1:134" ht="23.05" customHeight="1">
      <c r="A210" s="63"/>
      <c r="B210" s="1"/>
      <c r="C210" s="157" t="s">
        <v>250</v>
      </c>
      <c r="D210" s="1154" t="s">
        <v>217</v>
      </c>
      <c r="E210" s="1155"/>
      <c r="F210" s="1155"/>
      <c r="G210" s="1155"/>
      <c r="H210" s="1156"/>
      <c r="I210" s="1048" t="s">
        <v>218</v>
      </c>
      <c r="J210" s="1049"/>
      <c r="K210" s="1049"/>
      <c r="L210" s="1049"/>
      <c r="M210" s="1050"/>
      <c r="N210" s="1157" t="str">
        <f t="shared" si="70"/>
        <v/>
      </c>
      <c r="O210" s="1158"/>
      <c r="P210" s="826" t="str">
        <f t="shared" si="62"/>
        <v/>
      </c>
      <c r="Q210" s="216">
        <f t="shared" si="63"/>
        <v>0</v>
      </c>
      <c r="R210" s="216">
        <f t="shared" si="64"/>
        <v>0</v>
      </c>
      <c r="S210" s="216">
        <f t="shared" si="65"/>
        <v>0</v>
      </c>
      <c r="T210" s="216">
        <f t="shared" si="66"/>
        <v>0</v>
      </c>
      <c r="U210" s="216"/>
      <c r="V210" s="216"/>
      <c r="W210" s="220"/>
      <c r="X210" s="216">
        <f t="shared" si="67"/>
        <v>0</v>
      </c>
      <c r="Y210" s="216">
        <f>IF(OR($I210=$BE$195,$I210=$BE$196,$I210=$BE$197,$I210=$BE$198,$I210=$BE$199,$I210=$BE$200,$I210=$BE$201,$I210=$BE$202,$I210=$BE$203,$I210=$BE$204,$I210=$BE$206,$I210=$BE$207,I210=$BE$208,$I210=$BE$209,$I210=$BE$210),PRIJZEN!$I$9,0)</f>
        <v>0</v>
      </c>
      <c r="Z210" s="216">
        <f>IF(OR($I210=$BE$212,$I210=$BE$213,$I210=$BE$214,$I210=$BE$215,$I210=$BE$216),PRIJZEN!$I$10,0)</f>
        <v>0</v>
      </c>
      <c r="AA210" s="205"/>
      <c r="AB210" s="205"/>
      <c r="AC210" s="221">
        <f t="shared" si="68"/>
        <v>0</v>
      </c>
      <c r="AD210" s="221">
        <f t="shared" si="69"/>
        <v>0</v>
      </c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>
        <v>9</v>
      </c>
      <c r="AX210" s="205"/>
      <c r="AY210" s="205"/>
      <c r="AZ210" s="205"/>
      <c r="BA210" s="205"/>
      <c r="BB210" s="205"/>
      <c r="BC210" s="205"/>
      <c r="BD210" s="205"/>
      <c r="BE210" s="65" t="s">
        <v>235</v>
      </c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1"/>
      <c r="DF210" s="91"/>
      <c r="DG210" s="409"/>
      <c r="DH210" s="409"/>
      <c r="DI210" s="409"/>
      <c r="DJ210" s="409"/>
      <c r="DK210" s="409"/>
      <c r="DL210" s="409"/>
      <c r="DM210" s="409"/>
      <c r="DN210" s="409"/>
      <c r="DO210" s="409"/>
      <c r="DP210" s="409"/>
      <c r="DQ210" s="409"/>
      <c r="DR210" s="409"/>
      <c r="DS210" s="409"/>
      <c r="DT210" s="409"/>
      <c r="DU210" s="409"/>
      <c r="DV210" s="409"/>
      <c r="DW210" s="409"/>
      <c r="DX210" s="409"/>
      <c r="DY210" s="409"/>
      <c r="DZ210" s="409"/>
      <c r="EA210" s="409"/>
      <c r="EB210" s="409"/>
      <c r="EC210" s="409"/>
      <c r="ED210" s="409"/>
    </row>
    <row r="211" spans="1:134" ht="23.05" customHeight="1">
      <c r="A211" s="63"/>
      <c r="B211" s="1"/>
      <c r="C211" s="157" t="s">
        <v>251</v>
      </c>
      <c r="D211" s="1148" t="s">
        <v>217</v>
      </c>
      <c r="E211" s="1149"/>
      <c r="F211" s="1149"/>
      <c r="G211" s="1149"/>
      <c r="H211" s="1150"/>
      <c r="I211" s="1048" t="s">
        <v>218</v>
      </c>
      <c r="J211" s="1049"/>
      <c r="K211" s="1049"/>
      <c r="L211" s="1049"/>
      <c r="M211" s="1050"/>
      <c r="N211" s="1157" t="str">
        <f t="shared" si="70"/>
        <v/>
      </c>
      <c r="O211" s="1158"/>
      <c r="P211" s="827" t="str">
        <f t="shared" si="62"/>
        <v/>
      </c>
      <c r="Q211" s="216">
        <f t="shared" si="63"/>
        <v>0</v>
      </c>
      <c r="R211" s="216">
        <f t="shared" si="64"/>
        <v>0</v>
      </c>
      <c r="S211" s="216">
        <f t="shared" si="65"/>
        <v>0</v>
      </c>
      <c r="T211" s="216">
        <f t="shared" si="66"/>
        <v>0</v>
      </c>
      <c r="U211" s="216"/>
      <c r="V211" s="216"/>
      <c r="W211" s="220"/>
      <c r="X211" s="216">
        <f t="shared" si="67"/>
        <v>0</v>
      </c>
      <c r="Y211" s="216">
        <f>IF(OR($I211=$BE$195,$I211=$BE$196,$I211=$BE$197,$I211=$BE$198,$I211=$BE$199,$I211=$BE$200,$I211=$BE$201,$I211=$BE$202,$I211=$BE$203,$I211=$BE$204,$I211=$BE$206,$I211=$BE$207,I211=$BE$208,$I211=$BE$209,$I211=$BE$210),PRIJZEN!$I$9,0)</f>
        <v>0</v>
      </c>
      <c r="Z211" s="216">
        <f>IF(OR($I211=$BE$212,$I211=$BE$213,$I211=$BE$214,$I211=$BE$215,$I211=$BE$216),PRIJZEN!$I$10,0)</f>
        <v>0</v>
      </c>
      <c r="AA211" s="205"/>
      <c r="AB211" s="205"/>
      <c r="AC211" s="221">
        <f t="shared" si="68"/>
        <v>0</v>
      </c>
      <c r="AD211" s="221">
        <f t="shared" si="69"/>
        <v>0</v>
      </c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>
        <v>10</v>
      </c>
      <c r="AX211" s="205"/>
      <c r="AY211" s="205"/>
      <c r="AZ211" s="205"/>
      <c r="BA211" s="205"/>
      <c r="BB211" s="205"/>
      <c r="BC211" s="205"/>
      <c r="BD211" s="20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1"/>
      <c r="DF211" s="91"/>
      <c r="DG211" s="409"/>
      <c r="DH211" s="409"/>
      <c r="DI211" s="409"/>
      <c r="DJ211" s="409"/>
      <c r="DK211" s="409"/>
      <c r="DL211" s="409"/>
      <c r="DM211" s="409"/>
      <c r="DN211" s="409"/>
      <c r="DO211" s="409"/>
      <c r="DP211" s="409"/>
      <c r="DQ211" s="409"/>
      <c r="DR211" s="409"/>
      <c r="DS211" s="409"/>
      <c r="DT211" s="409"/>
      <c r="DU211" s="409"/>
      <c r="DV211" s="409"/>
      <c r="DW211" s="409"/>
      <c r="DX211" s="409"/>
      <c r="DY211" s="409"/>
      <c r="DZ211" s="409"/>
      <c r="EA211" s="409"/>
      <c r="EB211" s="409"/>
      <c r="EC211" s="409"/>
      <c r="ED211" s="409"/>
    </row>
    <row r="212" spans="1:134" ht="23.05" customHeight="1">
      <c r="A212" s="63"/>
      <c r="B212" s="1"/>
      <c r="C212" s="157" t="s">
        <v>252</v>
      </c>
      <c r="D212" s="1151" t="s">
        <v>217</v>
      </c>
      <c r="E212" s="1152"/>
      <c r="F212" s="1152"/>
      <c r="G212" s="1152"/>
      <c r="H212" s="1153"/>
      <c r="I212" s="1048" t="s">
        <v>218</v>
      </c>
      <c r="J212" s="1049"/>
      <c r="K212" s="1049"/>
      <c r="L212" s="1049"/>
      <c r="M212" s="1050"/>
      <c r="N212" s="1157" t="str">
        <f t="shared" si="70"/>
        <v/>
      </c>
      <c r="O212" s="1158"/>
      <c r="P212" s="825" t="str">
        <f t="shared" si="62"/>
        <v/>
      </c>
      <c r="Q212" s="216">
        <f t="shared" si="63"/>
        <v>0</v>
      </c>
      <c r="R212" s="216">
        <f t="shared" si="64"/>
        <v>0</v>
      </c>
      <c r="S212" s="216">
        <f t="shared" si="65"/>
        <v>0</v>
      </c>
      <c r="T212" s="216">
        <f t="shared" si="66"/>
        <v>0</v>
      </c>
      <c r="U212" s="216"/>
      <c r="V212" s="216"/>
      <c r="W212" s="220"/>
      <c r="X212" s="216">
        <f t="shared" si="67"/>
        <v>0</v>
      </c>
      <c r="Y212" s="216">
        <f>IF(OR($I212=$BE$195,$I212=$BE$196,$I212=$BE$197,$I212=$BE$198,$I212=$BE$199,$I212=$BE$200,$I212=$BE$201,$I212=$BE$202,$I212=$BE$203,$I212=$BE$204,$I212=$BE$206,$I212=$BE$207,I212=$BE$208,$I212=$BE$209,$I212=$BE$210),PRIJZEN!$I$9,0)</f>
        <v>0</v>
      </c>
      <c r="Z212" s="216">
        <f>IF(OR($I212=$BE$212,$I212=$BE$213,$I212=$BE$214,$I212=$BE$215,$I212=$BE$216),PRIJZEN!$I$10,0)</f>
        <v>0</v>
      </c>
      <c r="AA212" s="205"/>
      <c r="AB212" s="205"/>
      <c r="AC212" s="221">
        <f t="shared" si="68"/>
        <v>0</v>
      </c>
      <c r="AD212" s="221">
        <f t="shared" si="69"/>
        <v>0</v>
      </c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65" t="s">
        <v>674</v>
      </c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1"/>
      <c r="DF212" s="91"/>
      <c r="DG212" s="409"/>
      <c r="DH212" s="409"/>
      <c r="DI212" s="409"/>
      <c r="DJ212" s="409"/>
      <c r="DK212" s="409"/>
      <c r="DL212" s="409"/>
      <c r="DM212" s="409"/>
      <c r="DN212" s="409"/>
      <c r="DO212" s="409"/>
      <c r="DP212" s="409"/>
      <c r="DQ212" s="409"/>
      <c r="DR212" s="409"/>
      <c r="DS212" s="409"/>
      <c r="DT212" s="409"/>
      <c r="DU212" s="409"/>
      <c r="DV212" s="409"/>
      <c r="DW212" s="409"/>
      <c r="DX212" s="409"/>
      <c r="DY212" s="409"/>
      <c r="DZ212" s="409"/>
      <c r="EA212" s="409"/>
      <c r="EB212" s="409"/>
      <c r="EC212" s="409"/>
      <c r="ED212" s="409"/>
    </row>
    <row r="213" spans="1:134" ht="23.05" customHeight="1">
      <c r="A213" s="63"/>
      <c r="B213" s="1"/>
      <c r="C213" s="157" t="s">
        <v>253</v>
      </c>
      <c r="D213" s="1154" t="s">
        <v>217</v>
      </c>
      <c r="E213" s="1155"/>
      <c r="F213" s="1155"/>
      <c r="G213" s="1155"/>
      <c r="H213" s="1156"/>
      <c r="I213" s="1048" t="s">
        <v>218</v>
      </c>
      <c r="J213" s="1049"/>
      <c r="K213" s="1049"/>
      <c r="L213" s="1049"/>
      <c r="M213" s="1050"/>
      <c r="N213" s="1043" t="str">
        <f t="shared" si="70"/>
        <v/>
      </c>
      <c r="O213" s="1044"/>
      <c r="P213" s="826" t="str">
        <f t="shared" si="62"/>
        <v/>
      </c>
      <c r="Q213" s="216">
        <f t="shared" si="63"/>
        <v>0</v>
      </c>
      <c r="R213" s="216">
        <f t="shared" si="64"/>
        <v>0</v>
      </c>
      <c r="S213" s="216">
        <f t="shared" si="65"/>
        <v>0</v>
      </c>
      <c r="T213" s="216">
        <f t="shared" si="66"/>
        <v>0</v>
      </c>
      <c r="U213" s="216"/>
      <c r="V213" s="216"/>
      <c r="W213" s="220"/>
      <c r="X213" s="216">
        <f t="shared" si="67"/>
        <v>0</v>
      </c>
      <c r="Y213" s="216">
        <f>IF(OR($I213=$BE$195,$I213=$BE$196,$I213=$BE$197,$I213=$BE$198,$I213=$BE$199,$I213=$BE$200,$I213=$BE$201,$I213=$BE$202,$I213=$BE$203,$I213=$BE$204,$I213=$BE$206,$I213=$BE$207,I213=$BE$208,$I213=$BE$209,$I213=$BE$210),PRIJZEN!$I$9,0)</f>
        <v>0</v>
      </c>
      <c r="Z213" s="216">
        <f>IF(OR($I213=$BE$212,$I213=$BE$213,$I213=$BE$214,$I213=$BE$215,$I213=$BE$216),PRIJZEN!$I$10,0)</f>
        <v>0</v>
      </c>
      <c r="AA213" s="205"/>
      <c r="AB213" s="205"/>
      <c r="AC213" s="221">
        <f t="shared" si="68"/>
        <v>0</v>
      </c>
      <c r="AD213" s="221">
        <f t="shared" si="69"/>
        <v>0</v>
      </c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65" t="s">
        <v>236</v>
      </c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1"/>
      <c r="DF213" s="91"/>
      <c r="DG213" s="409"/>
      <c r="DH213" s="409"/>
      <c r="DI213" s="409"/>
      <c r="DJ213" s="409"/>
      <c r="DK213" s="409"/>
      <c r="DL213" s="409"/>
      <c r="DM213" s="409"/>
      <c r="DN213" s="409"/>
      <c r="DO213" s="409"/>
      <c r="DP213" s="409"/>
      <c r="DQ213" s="409"/>
      <c r="DR213" s="409"/>
      <c r="DS213" s="409"/>
      <c r="DT213" s="409"/>
      <c r="DU213" s="409"/>
      <c r="DV213" s="409"/>
      <c r="DW213" s="409"/>
      <c r="DX213" s="409"/>
      <c r="DY213" s="409"/>
      <c r="DZ213" s="409"/>
      <c r="EA213" s="409"/>
      <c r="EB213" s="409"/>
      <c r="EC213" s="409"/>
      <c r="ED213" s="409"/>
    </row>
    <row r="214" spans="1:134" ht="23.05" customHeight="1">
      <c r="A214" s="63"/>
      <c r="B214" s="1"/>
      <c r="C214" s="157" t="s">
        <v>254</v>
      </c>
      <c r="D214" s="1154" t="s">
        <v>217</v>
      </c>
      <c r="E214" s="1155"/>
      <c r="F214" s="1155"/>
      <c r="G214" s="1155"/>
      <c r="H214" s="1156"/>
      <c r="I214" s="1048" t="s">
        <v>218</v>
      </c>
      <c r="J214" s="1049"/>
      <c r="K214" s="1049"/>
      <c r="L214" s="1049"/>
      <c r="M214" s="1050"/>
      <c r="N214" s="1080" t="str">
        <f t="shared" si="70"/>
        <v/>
      </c>
      <c r="O214" s="1068"/>
      <c r="P214" s="826" t="str">
        <f t="shared" si="62"/>
        <v/>
      </c>
      <c r="Q214" s="216">
        <f t="shared" si="63"/>
        <v>0</v>
      </c>
      <c r="R214" s="216">
        <f t="shared" si="64"/>
        <v>0</v>
      </c>
      <c r="S214" s="216">
        <f t="shared" si="65"/>
        <v>0</v>
      </c>
      <c r="T214" s="216">
        <f t="shared" si="66"/>
        <v>0</v>
      </c>
      <c r="U214" s="216"/>
      <c r="V214" s="216"/>
      <c r="W214" s="220"/>
      <c r="X214" s="216">
        <f t="shared" si="67"/>
        <v>0</v>
      </c>
      <c r="Y214" s="216">
        <f>IF(OR($I214=$BE$195,$I214=$BE$196,$I214=$BE$197,$I214=$BE$198,$I214=$BE$199,$I214=$BE$200,$I214=$BE$201,$I214=$BE$202,$I214=$BE$203,$I214=$BE$204,$I214=$BE$206,$I214=$BE$207,I214=$BE$208,$I214=$BE$209,$I214=$BE$210),PRIJZEN!$I$9,0)</f>
        <v>0</v>
      </c>
      <c r="Z214" s="216">
        <f>IF(OR($I214=$BE$212,$I214=$BE$213,$I214=$BE$214,$I214=$BE$215,$I214=$BE$216),PRIJZEN!$I$10,0)</f>
        <v>0</v>
      </c>
      <c r="AA214" s="205"/>
      <c r="AB214" s="205"/>
      <c r="AC214" s="221">
        <f t="shared" si="68"/>
        <v>0</v>
      </c>
      <c r="AD214" s="221">
        <f t="shared" si="69"/>
        <v>0</v>
      </c>
      <c r="AE214" s="205"/>
      <c r="AF214" s="205"/>
      <c r="AG214" s="205"/>
      <c r="AH214" s="205"/>
      <c r="AI214" s="97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65" t="s">
        <v>237</v>
      </c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409"/>
      <c r="DH214" s="409"/>
      <c r="DI214" s="409"/>
      <c r="DJ214" s="409"/>
      <c r="DK214" s="409"/>
      <c r="DL214" s="409"/>
      <c r="DM214" s="409"/>
      <c r="DN214" s="409"/>
      <c r="DO214" s="409"/>
      <c r="DP214" s="409"/>
      <c r="DQ214" s="409"/>
      <c r="DR214" s="409"/>
      <c r="DS214" s="409"/>
      <c r="DT214" s="409"/>
      <c r="DU214" s="409"/>
      <c r="DV214" s="409"/>
      <c r="DW214" s="409"/>
      <c r="DX214" s="409"/>
      <c r="DY214" s="409"/>
      <c r="DZ214" s="409"/>
      <c r="EA214" s="409"/>
      <c r="EB214" s="409"/>
      <c r="EC214" s="409"/>
      <c r="ED214" s="409"/>
    </row>
    <row r="215" spans="1:134" ht="23.05" customHeight="1">
      <c r="A215" s="63"/>
      <c r="B215" s="1"/>
      <c r="C215" s="157" t="s">
        <v>255</v>
      </c>
      <c r="D215" s="1154" t="s">
        <v>217</v>
      </c>
      <c r="E215" s="1155"/>
      <c r="F215" s="1155"/>
      <c r="G215" s="1155"/>
      <c r="H215" s="1156"/>
      <c r="I215" s="1048" t="s">
        <v>218</v>
      </c>
      <c r="J215" s="1049"/>
      <c r="K215" s="1049"/>
      <c r="L215" s="1049"/>
      <c r="M215" s="1050"/>
      <c r="N215" s="1157" t="str">
        <f t="shared" si="70"/>
        <v/>
      </c>
      <c r="O215" s="1158"/>
      <c r="P215" s="827" t="str">
        <f t="shared" si="62"/>
        <v/>
      </c>
      <c r="Q215" s="216">
        <f t="shared" si="63"/>
        <v>0</v>
      </c>
      <c r="R215" s="216">
        <f t="shared" si="64"/>
        <v>0</v>
      </c>
      <c r="S215" s="216">
        <f t="shared" si="65"/>
        <v>0</v>
      </c>
      <c r="T215" s="216">
        <f t="shared" si="66"/>
        <v>0</v>
      </c>
      <c r="U215" s="216"/>
      <c r="V215" s="216"/>
      <c r="W215" s="220"/>
      <c r="X215" s="216">
        <f t="shared" si="67"/>
        <v>0</v>
      </c>
      <c r="Y215" s="216">
        <f>IF(OR($I215=$BE$195,$I215=$BE$196,$I215=$BE$197,$I215=$BE$198,$I215=$BE$199,$I215=$BE$200,$I215=$BE$201,$I215=$BE$202,$I215=$BE$203,$I215=$BE$204,$I215=$BE$206,$I215=$BE$207,I215=$BE$208,$I215=$BE$209,$I215=$BE$210),PRIJZEN!$I$9,0)</f>
        <v>0</v>
      </c>
      <c r="Z215" s="216">
        <f>IF(OR($I215=$BE$212,$I215=$BE$213,$I215=$BE$214,$I215=$BE$215,$I215=$BE$216),PRIJZEN!$I$10,0)</f>
        <v>0</v>
      </c>
      <c r="AA215" s="205"/>
      <c r="AB215" s="205"/>
      <c r="AC215" s="221">
        <f t="shared" si="68"/>
        <v>0</v>
      </c>
      <c r="AD215" s="221">
        <f t="shared" si="69"/>
        <v>0</v>
      </c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C215" s="205"/>
      <c r="BD215" s="205"/>
      <c r="BE215" s="65" t="s">
        <v>238</v>
      </c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1"/>
      <c r="DF215" s="91"/>
      <c r="DG215" s="409"/>
      <c r="DH215" s="409"/>
      <c r="DI215" s="409"/>
      <c r="DJ215" s="409"/>
      <c r="DK215" s="409"/>
      <c r="DL215" s="409"/>
      <c r="DM215" s="409"/>
      <c r="DN215" s="409"/>
      <c r="DO215" s="409"/>
      <c r="DP215" s="409"/>
      <c r="DQ215" s="409"/>
      <c r="DR215" s="409"/>
      <c r="DS215" s="409"/>
      <c r="DT215" s="409"/>
      <c r="DU215" s="409"/>
      <c r="DV215" s="409"/>
      <c r="DW215" s="409"/>
      <c r="DX215" s="409"/>
      <c r="DY215" s="409"/>
      <c r="DZ215" s="409"/>
      <c r="EA215" s="409"/>
      <c r="EB215" s="409"/>
      <c r="EC215" s="409"/>
      <c r="ED215" s="409"/>
    </row>
    <row r="216" spans="1:134" ht="23.05" customHeight="1">
      <c r="A216" s="63"/>
      <c r="B216" s="1"/>
      <c r="C216" s="157" t="s">
        <v>256</v>
      </c>
      <c r="D216" s="1148" t="s">
        <v>217</v>
      </c>
      <c r="E216" s="1149"/>
      <c r="F216" s="1149"/>
      <c r="G216" s="1149"/>
      <c r="H216" s="1150"/>
      <c r="I216" s="1048" t="s">
        <v>218</v>
      </c>
      <c r="J216" s="1049"/>
      <c r="K216" s="1049"/>
      <c r="L216" s="1049"/>
      <c r="M216" s="1050"/>
      <c r="N216" s="1157" t="str">
        <f t="shared" si="70"/>
        <v/>
      </c>
      <c r="O216" s="1158"/>
      <c r="P216" s="827" t="str">
        <f t="shared" si="62"/>
        <v/>
      </c>
      <c r="Q216" s="216">
        <f t="shared" si="63"/>
        <v>0</v>
      </c>
      <c r="R216" s="216">
        <f t="shared" si="64"/>
        <v>0</v>
      </c>
      <c r="S216" s="216">
        <f t="shared" si="65"/>
        <v>0</v>
      </c>
      <c r="T216" s="216">
        <f t="shared" si="66"/>
        <v>0</v>
      </c>
      <c r="U216" s="216"/>
      <c r="V216" s="216"/>
      <c r="W216" s="220"/>
      <c r="X216" s="216">
        <f t="shared" si="67"/>
        <v>0</v>
      </c>
      <c r="Y216" s="216">
        <f>IF(OR($I216=$BE$195,$I216=$BE$196,$I216=$BE$197,$I216=$BE$198,$I216=$BE$199,$I216=$BE$200,$I216=$BE$201,$I216=$BE$202,$I216=$BE$203,$I216=$BE$204,$I216=$BE$206,$I216=$BE$207,I216=$BE$208,$I216=$BE$209,$I216=$BE$210),PRIJZEN!$I$9,0)</f>
        <v>0</v>
      </c>
      <c r="Z216" s="216">
        <f>IF(OR($I216=$BE$212,$I216=$BE$213,$I216=$BE$214,$I216=$BE$215,$I216=$BE$216),PRIJZEN!$I$10,0)</f>
        <v>0</v>
      </c>
      <c r="AA216" s="205"/>
      <c r="AB216" s="205"/>
      <c r="AC216" s="221">
        <f t="shared" si="68"/>
        <v>0</v>
      </c>
      <c r="AD216" s="221">
        <f t="shared" si="69"/>
        <v>0</v>
      </c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65" t="s">
        <v>239</v>
      </c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409"/>
      <c r="DH216" s="409"/>
      <c r="DI216" s="409"/>
      <c r="DJ216" s="409"/>
      <c r="DK216" s="409"/>
      <c r="DL216" s="409"/>
      <c r="DM216" s="409"/>
      <c r="DN216" s="409"/>
      <c r="DO216" s="409"/>
      <c r="DP216" s="409"/>
      <c r="DQ216" s="409"/>
      <c r="DR216" s="409"/>
      <c r="DS216" s="409"/>
      <c r="DT216" s="409"/>
      <c r="DU216" s="409"/>
      <c r="DV216" s="409"/>
      <c r="DW216" s="409"/>
      <c r="DX216" s="409"/>
      <c r="DY216" s="409"/>
      <c r="DZ216" s="409"/>
      <c r="EA216" s="409"/>
      <c r="EB216" s="409"/>
      <c r="EC216" s="409"/>
      <c r="ED216" s="409"/>
    </row>
    <row r="217" spans="1:134" ht="23.05" customHeight="1">
      <c r="A217" s="63"/>
      <c r="B217" s="163"/>
      <c r="C217" s="158" t="s">
        <v>257</v>
      </c>
      <c r="D217" s="1337" t="s">
        <v>217</v>
      </c>
      <c r="E217" s="1338"/>
      <c r="F217" s="1338"/>
      <c r="G217" s="1338"/>
      <c r="H217" s="1339"/>
      <c r="I217" s="1325" t="s">
        <v>218</v>
      </c>
      <c r="J217" s="1326"/>
      <c r="K217" s="1326"/>
      <c r="L217" s="1326"/>
      <c r="M217" s="1327"/>
      <c r="N217" s="1340" t="str">
        <f t="shared" si="70"/>
        <v/>
      </c>
      <c r="O217" s="1341"/>
      <c r="P217" s="825" t="str">
        <f t="shared" si="62"/>
        <v/>
      </c>
      <c r="Q217" s="216">
        <f t="shared" si="63"/>
        <v>0</v>
      </c>
      <c r="R217" s="216">
        <f t="shared" si="64"/>
        <v>0</v>
      </c>
      <c r="S217" s="216">
        <f t="shared" si="65"/>
        <v>0</v>
      </c>
      <c r="T217" s="216">
        <f t="shared" si="66"/>
        <v>0</v>
      </c>
      <c r="U217" s="216"/>
      <c r="V217" s="216"/>
      <c r="W217" s="220"/>
      <c r="X217" s="216">
        <f t="shared" si="67"/>
        <v>0</v>
      </c>
      <c r="Y217" s="216">
        <f>IF(OR($I217=$BE$195,$I217=$BE$196,$I217=$BE$197,$I217=$BE$198,$I217=$BE$199,$I217=$BE$200,$I217=$BE$201,$I217=$BE$202,$I217=$BE$203,$I217=$BE$204,$I217=$BE$206,$I217=$BE$207,I217=$BE$208,$I217=$BE$209,$I217=$BE$210),PRIJZEN!$I$9,0)</f>
        <v>0</v>
      </c>
      <c r="Z217" s="216">
        <f>IF(OR($I217=$BE$212,$I217=$BE$213,$I217=$BE$214,$I217=$BE$215,$I217=$BE$216),PRIJZEN!$I$10,0)</f>
        <v>0</v>
      </c>
      <c r="AA217" s="205"/>
      <c r="AB217" s="205"/>
      <c r="AC217" s="221">
        <f t="shared" si="68"/>
        <v>0</v>
      </c>
      <c r="AD217" s="221">
        <f t="shared" si="69"/>
        <v>0</v>
      </c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1"/>
      <c r="DF217" s="91"/>
      <c r="DG217" s="409"/>
      <c r="DH217" s="409"/>
      <c r="DI217" s="409"/>
      <c r="DJ217" s="409"/>
      <c r="DK217" s="409"/>
      <c r="DL217" s="409"/>
      <c r="DM217" s="409"/>
      <c r="DN217" s="409"/>
      <c r="DO217" s="409"/>
      <c r="DP217" s="409"/>
      <c r="DQ217" s="409"/>
      <c r="DR217" s="409"/>
      <c r="DS217" s="409"/>
      <c r="DT217" s="409"/>
      <c r="DU217" s="409"/>
      <c r="DV217" s="409"/>
      <c r="DW217" s="409"/>
      <c r="DX217" s="409"/>
      <c r="DY217" s="409"/>
      <c r="DZ217" s="409"/>
      <c r="EA217" s="409"/>
      <c r="EB217" s="409"/>
      <c r="EC217" s="409"/>
      <c r="ED217" s="409"/>
    </row>
    <row r="218" spans="1:134" ht="23.05" customHeight="1">
      <c r="A218" s="63"/>
      <c r="B218" s="647"/>
      <c r="C218" s="648"/>
      <c r="D218" s="649"/>
      <c r="E218" s="649"/>
      <c r="F218" s="649"/>
      <c r="G218" s="649"/>
      <c r="H218" s="649"/>
      <c r="I218" s="650"/>
      <c r="J218" s="650"/>
      <c r="K218" s="650"/>
      <c r="L218" s="650"/>
      <c r="M218" s="650"/>
      <c r="N218" s="711"/>
      <c r="O218" s="711"/>
      <c r="P218" s="823">
        <f>SUM(P187:P216)</f>
        <v>0</v>
      </c>
      <c r="Q218" s="216"/>
      <c r="R218" s="216"/>
      <c r="S218" s="216"/>
      <c r="T218" s="216"/>
      <c r="U218" s="216"/>
      <c r="V218" s="216"/>
      <c r="W218" s="220"/>
      <c r="X218" s="216"/>
      <c r="Y218" s="216"/>
      <c r="Z218" s="216"/>
      <c r="AA218" s="205"/>
      <c r="AB218" s="205"/>
      <c r="AC218" s="221"/>
      <c r="AD218" s="221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1"/>
      <c r="DF218" s="91"/>
      <c r="DG218" s="409"/>
      <c r="DH218" s="409"/>
      <c r="DI218" s="409"/>
      <c r="DJ218" s="409"/>
      <c r="DK218" s="409"/>
      <c r="DL218" s="409"/>
      <c r="DM218" s="409"/>
      <c r="DN218" s="409"/>
      <c r="DO218" s="409"/>
      <c r="DP218" s="409"/>
      <c r="DQ218" s="409"/>
      <c r="DR218" s="409"/>
      <c r="DS218" s="409"/>
      <c r="DT218" s="409"/>
      <c r="DU218" s="409"/>
      <c r="DV218" s="409"/>
      <c r="DW218" s="409"/>
      <c r="DX218" s="409"/>
      <c r="DY218" s="409"/>
      <c r="DZ218" s="409"/>
      <c r="EA218" s="409"/>
      <c r="EB218" s="409"/>
      <c r="EC218" s="409"/>
      <c r="ED218" s="409"/>
    </row>
    <row r="219" spans="1:134" ht="23.05" customHeight="1" thickBot="1">
      <c r="A219" s="63"/>
      <c r="B219" s="788" t="s">
        <v>281</v>
      </c>
      <c r="C219" s="1105" t="s">
        <v>917</v>
      </c>
      <c r="D219" s="1105"/>
      <c r="E219" s="1105"/>
      <c r="F219" s="1105"/>
      <c r="G219" s="1105"/>
      <c r="H219" s="1105"/>
      <c r="I219" s="1105"/>
      <c r="J219" s="1105"/>
      <c r="K219" s="1105"/>
      <c r="L219" s="1105"/>
      <c r="M219" s="1163"/>
      <c r="N219" s="1105"/>
      <c r="O219" s="1106"/>
      <c r="P219" s="682"/>
      <c r="Q219" s="216"/>
      <c r="R219" s="216"/>
      <c r="S219" s="683"/>
      <c r="T219" s="684"/>
      <c r="U219" s="683" t="s">
        <v>820</v>
      </c>
      <c r="V219" s="684"/>
      <c r="W219" s="366" t="s">
        <v>821</v>
      </c>
      <c r="X219" s="97"/>
      <c r="Y219" s="97"/>
      <c r="Z219" s="366" t="s">
        <v>825</v>
      </c>
      <c r="AA219" s="685"/>
      <c r="AB219" s="97"/>
      <c r="AC219" s="207" t="s">
        <v>830</v>
      </c>
      <c r="AD219" s="97"/>
      <c r="AE219" s="685"/>
      <c r="AF219" s="366" t="s">
        <v>832</v>
      </c>
      <c r="AG219" s="685"/>
      <c r="AH219" s="97"/>
      <c r="AI219" s="685"/>
      <c r="AJ219" s="366" t="s">
        <v>834</v>
      </c>
      <c r="AK219" s="205"/>
      <c r="AL219" s="97"/>
      <c r="AM219" s="205"/>
      <c r="AN219" s="366" t="s">
        <v>833</v>
      </c>
      <c r="AO219" s="205"/>
      <c r="AP219" s="205"/>
      <c r="AQ219" s="205"/>
      <c r="AR219" s="207" t="s">
        <v>852</v>
      </c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1"/>
      <c r="DF219" s="91"/>
      <c r="DG219" s="409"/>
      <c r="DH219" s="409"/>
      <c r="DI219" s="409"/>
      <c r="DJ219" s="409"/>
      <c r="DK219" s="409"/>
      <c r="DL219" s="409"/>
      <c r="DM219" s="409"/>
      <c r="DN219" s="409"/>
      <c r="DO219" s="409"/>
      <c r="DP219" s="409"/>
      <c r="DQ219" s="409"/>
      <c r="DR219" s="409"/>
      <c r="DS219" s="409"/>
      <c r="DT219" s="409"/>
      <c r="DU219" s="409"/>
      <c r="DV219" s="409"/>
      <c r="DW219" s="409"/>
      <c r="DX219" s="409"/>
      <c r="DY219" s="409"/>
      <c r="DZ219" s="409"/>
      <c r="EA219" s="409"/>
      <c r="EB219" s="409"/>
      <c r="EC219" s="409"/>
      <c r="ED219" s="409"/>
    </row>
    <row r="220" spans="1:134" ht="23.05" customHeight="1" thickBot="1">
      <c r="A220" s="63"/>
      <c r="B220" s="789"/>
      <c r="C220" s="790"/>
      <c r="D220" s="681" t="s">
        <v>837</v>
      </c>
      <c r="E220" s="699" t="s">
        <v>818</v>
      </c>
      <c r="F220" s="678" t="s">
        <v>838</v>
      </c>
      <c r="G220" s="678" t="s">
        <v>819</v>
      </c>
      <c r="H220" s="678" t="s">
        <v>838</v>
      </c>
      <c r="I220" s="678" t="s">
        <v>814</v>
      </c>
      <c r="J220" s="940" t="s">
        <v>816</v>
      </c>
      <c r="K220" s="941"/>
      <c r="L220" s="694" t="s">
        <v>815</v>
      </c>
      <c r="M220" s="820" t="s">
        <v>241</v>
      </c>
      <c r="N220" s="679"/>
      <c r="O220" s="680"/>
      <c r="P220" s="682"/>
      <c r="Q220" s="216"/>
      <c r="R220" s="216"/>
      <c r="S220" s="220"/>
      <c r="T220" s="216"/>
      <c r="U220" s="220"/>
      <c r="V220" s="216"/>
      <c r="W220" s="602"/>
      <c r="X220" s="221"/>
      <c r="Y220" s="216"/>
      <c r="Z220" s="602"/>
      <c r="AA220" s="221"/>
      <c r="AB220" s="221"/>
      <c r="AC220" s="220"/>
      <c r="AD220" s="221"/>
      <c r="AE220" s="221"/>
      <c r="AF220" s="602"/>
      <c r="AG220" s="221"/>
      <c r="AH220" s="221"/>
      <c r="AI220" s="221"/>
      <c r="AJ220" s="602"/>
      <c r="AK220" s="97"/>
      <c r="AL220" s="221"/>
      <c r="AM220" s="206"/>
      <c r="AN220" s="602"/>
      <c r="AO220" s="205"/>
      <c r="AP220" s="205"/>
      <c r="AQ220" s="205"/>
      <c r="AR220" s="6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1"/>
      <c r="DF220" s="91"/>
      <c r="DG220" s="409"/>
      <c r="DH220" s="409"/>
      <c r="DI220" s="409"/>
      <c r="DJ220" s="409"/>
      <c r="DK220" s="409"/>
      <c r="DL220" s="409"/>
      <c r="DM220" s="409"/>
      <c r="DN220" s="409"/>
      <c r="DO220" s="409"/>
      <c r="DP220" s="409"/>
      <c r="DQ220" s="409"/>
      <c r="DR220" s="409"/>
      <c r="DS220" s="409"/>
      <c r="DT220" s="409"/>
      <c r="DU220" s="409"/>
      <c r="DV220" s="409"/>
      <c r="DW220" s="409"/>
      <c r="DX220" s="409"/>
      <c r="DY220" s="409"/>
      <c r="DZ220" s="409"/>
      <c r="EA220" s="409"/>
      <c r="EB220" s="409"/>
      <c r="EC220" s="409"/>
      <c r="ED220" s="409"/>
    </row>
    <row r="221" spans="1:134" ht="23.05" customHeight="1">
      <c r="A221" s="63" t="s">
        <v>27</v>
      </c>
      <c r="B221" s="994" t="s">
        <v>118</v>
      </c>
      <c r="C221" s="994"/>
      <c r="D221" s="777" t="s">
        <v>467</v>
      </c>
      <c r="E221" s="778" t="s">
        <v>820</v>
      </c>
      <c r="F221" s="779" t="s">
        <v>832</v>
      </c>
      <c r="G221" s="780"/>
      <c r="H221" s="781"/>
      <c r="I221" s="779" t="s">
        <v>822</v>
      </c>
      <c r="J221" s="942"/>
      <c r="K221" s="943"/>
      <c r="L221" s="776" t="s">
        <v>825</v>
      </c>
      <c r="M221" s="815"/>
      <c r="N221" s="988">
        <f>IF(Q221="Minimaal 6 personen!","minimaal 6 personen!",SUM(R221:T221))</f>
        <v>0</v>
      </c>
      <c r="O221" s="989"/>
      <c r="P221" s="226"/>
      <c r="Q221" s="687" t="str">
        <f>IF(AND($M221&gt;0,$M221&lt;6),"minimaal 6 personen!",$R221)</f>
        <v/>
      </c>
      <c r="R221" s="220" t="str">
        <f>IF($M221="","",$M221*PRIJZEN!I73)</f>
        <v/>
      </c>
      <c r="S221" s="220">
        <f>IF(E221="Stok bruin",M221*0.3,0)</f>
        <v>0</v>
      </c>
      <c r="T221" s="216">
        <f>IF(G221="Pistolet bruin",M221*0.65,0)</f>
        <v>0</v>
      </c>
      <c r="U221" s="220" t="s">
        <v>817</v>
      </c>
      <c r="V221" s="216"/>
      <c r="W221" s="602" t="s">
        <v>812</v>
      </c>
      <c r="X221" s="221"/>
      <c r="Y221" s="216"/>
      <c r="Z221" s="602" t="s">
        <v>826</v>
      </c>
      <c r="AA221" s="221"/>
      <c r="AB221" s="221"/>
      <c r="AC221" s="220" t="s">
        <v>297</v>
      </c>
      <c r="AD221" s="221"/>
      <c r="AE221" s="221"/>
      <c r="AF221" s="602" t="s">
        <v>843</v>
      </c>
      <c r="AG221" s="221"/>
      <c r="AH221" s="221"/>
      <c r="AI221" s="221"/>
      <c r="AJ221" s="602" t="s">
        <v>226</v>
      </c>
      <c r="AK221" s="221"/>
      <c r="AL221" s="221"/>
      <c r="AM221" s="221"/>
      <c r="AN221" s="602" t="s">
        <v>238</v>
      </c>
      <c r="AO221" s="206"/>
      <c r="AP221" s="206"/>
      <c r="AQ221" s="206"/>
      <c r="AR221" s="602" t="s">
        <v>851</v>
      </c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1"/>
      <c r="DF221" s="91"/>
      <c r="DG221" s="409"/>
      <c r="DH221" s="409"/>
      <c r="DI221" s="409"/>
      <c r="DJ221" s="409"/>
      <c r="DK221" s="409"/>
      <c r="DL221" s="409"/>
      <c r="DM221" s="409"/>
      <c r="DN221" s="409"/>
      <c r="DO221" s="409"/>
      <c r="DP221" s="409"/>
      <c r="DQ221" s="409"/>
      <c r="DR221" s="409"/>
      <c r="DS221" s="409"/>
      <c r="DT221" s="409"/>
      <c r="DU221" s="409"/>
      <c r="DV221" s="409"/>
      <c r="DW221" s="409"/>
      <c r="DX221" s="409"/>
      <c r="DY221" s="409"/>
      <c r="DZ221" s="409"/>
      <c r="EA221" s="409"/>
      <c r="EB221" s="409"/>
      <c r="EC221" s="409"/>
      <c r="ED221" s="409"/>
    </row>
    <row r="222" spans="1:134" ht="23.05" customHeight="1" thickBot="1">
      <c r="A222" s="63"/>
      <c r="B222" s="994"/>
      <c r="C222" s="994"/>
      <c r="D222" s="674" t="s">
        <v>848</v>
      </c>
      <c r="E222" s="775" t="s">
        <v>820</v>
      </c>
      <c r="F222" s="693" t="s">
        <v>832</v>
      </c>
      <c r="G222" s="693" t="s">
        <v>821</v>
      </c>
      <c r="H222" s="693" t="s">
        <v>832</v>
      </c>
      <c r="I222" s="693" t="s">
        <v>822</v>
      </c>
      <c r="J222" s="944"/>
      <c r="K222" s="945"/>
      <c r="L222" s="774" t="s">
        <v>825</v>
      </c>
      <c r="M222" s="816"/>
      <c r="N222" s="986">
        <f t="shared" ref="N222:N227" si="71">IF(Q222="Minimaal 6 personen!","minimaal 6 personen!",SUM(R222:T222))</f>
        <v>0</v>
      </c>
      <c r="O222" s="987"/>
      <c r="P222" s="682"/>
      <c r="Q222" s="687" t="str">
        <f t="shared" ref="Q222:Q227" si="72">IF(AND($M222&gt;0,$M222&lt;6),"minimaal 6 personen!",$R222)</f>
        <v/>
      </c>
      <c r="R222" s="220" t="str">
        <f>IF($M222="","",$M222*PRIJZEN!I74)</f>
        <v/>
      </c>
      <c r="S222" s="220">
        <f t="shared" ref="S222:S227" si="73">IF(E222="Stok bruin",M222*0.3,0)</f>
        <v>0</v>
      </c>
      <c r="T222" s="216">
        <f t="shared" ref="T222:T227" si="74">IF(G222="Pistolet bruin",M222*0.65,0)</f>
        <v>0</v>
      </c>
      <c r="U222" s="220" t="s">
        <v>892</v>
      </c>
      <c r="V222" s="216"/>
      <c r="W222" s="67" t="s">
        <v>813</v>
      </c>
      <c r="X222" s="221"/>
      <c r="Y222" s="221"/>
      <c r="Z222" s="602" t="s">
        <v>507</v>
      </c>
      <c r="AA222" s="221"/>
      <c r="AB222" s="221"/>
      <c r="AC222" s="602" t="s">
        <v>831</v>
      </c>
      <c r="AD222" s="221"/>
      <c r="AE222" s="221"/>
      <c r="AF222" s="602" t="s">
        <v>841</v>
      </c>
      <c r="AG222" s="221"/>
      <c r="AH222" s="221"/>
      <c r="AI222" s="221"/>
      <c r="AJ222" s="602" t="s">
        <v>225</v>
      </c>
      <c r="AK222" s="221"/>
      <c r="AL222" s="221"/>
      <c r="AM222" s="221"/>
      <c r="AN222" s="602" t="s">
        <v>298</v>
      </c>
      <c r="AO222" s="221"/>
      <c r="AP222" s="221"/>
      <c r="AQ222" s="221"/>
      <c r="AR222" s="602" t="s">
        <v>228</v>
      </c>
      <c r="AS222" s="221"/>
      <c r="AT222" s="221"/>
      <c r="AU222" s="221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  <c r="BI222" s="206"/>
      <c r="BJ222" s="206"/>
      <c r="BK222" s="206"/>
      <c r="BL222" s="206"/>
      <c r="BM222" s="206"/>
      <c r="BN222" s="206"/>
      <c r="BO222" s="206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1"/>
      <c r="DF222" s="91"/>
      <c r="DG222" s="409"/>
      <c r="DH222" s="409"/>
      <c r="DI222" s="409"/>
      <c r="DJ222" s="409"/>
      <c r="DK222" s="409"/>
      <c r="DL222" s="409"/>
      <c r="DM222" s="409"/>
      <c r="DN222" s="409"/>
      <c r="DO222" s="409"/>
      <c r="DP222" s="409"/>
      <c r="DQ222" s="409"/>
      <c r="DR222" s="409"/>
      <c r="DS222" s="409"/>
      <c r="DT222" s="409"/>
      <c r="DU222" s="409"/>
      <c r="DV222" s="409"/>
      <c r="DW222" s="409"/>
      <c r="DX222" s="409"/>
      <c r="DY222" s="409"/>
      <c r="DZ222" s="409"/>
      <c r="EA222" s="409"/>
      <c r="EB222" s="409"/>
      <c r="EC222" s="409"/>
      <c r="ED222" s="409"/>
    </row>
    <row r="223" spans="1:134" ht="23.05" customHeight="1">
      <c r="A223" s="63"/>
      <c r="B223" s="994"/>
      <c r="C223" s="994"/>
      <c r="D223" s="672" t="s">
        <v>461</v>
      </c>
      <c r="E223" s="689" t="s">
        <v>820</v>
      </c>
      <c r="F223" s="690" t="s">
        <v>834</v>
      </c>
      <c r="G223" s="780"/>
      <c r="H223" s="781"/>
      <c r="I223" s="673" t="s">
        <v>847</v>
      </c>
      <c r="J223" s="946"/>
      <c r="K223" s="947"/>
      <c r="L223" s="695" t="s">
        <v>839</v>
      </c>
      <c r="M223" s="817"/>
      <c r="N223" s="988">
        <f t="shared" si="71"/>
        <v>0</v>
      </c>
      <c r="O223" s="989"/>
      <c r="P223" s="682"/>
      <c r="Q223" s="687" t="str">
        <f t="shared" si="72"/>
        <v/>
      </c>
      <c r="R223" s="220" t="str">
        <f>IF($M223="","",$M223*PRIJZEN!I75)</f>
        <v/>
      </c>
      <c r="S223" s="220">
        <f t="shared" si="73"/>
        <v>0</v>
      </c>
      <c r="T223" s="216">
        <f t="shared" si="74"/>
        <v>0</v>
      </c>
      <c r="U223" s="220"/>
      <c r="V223" s="221"/>
      <c r="W223" s="67"/>
      <c r="X223" s="221"/>
      <c r="Y223" s="221"/>
      <c r="Z223" s="602" t="s">
        <v>508</v>
      </c>
      <c r="AA223" s="221"/>
      <c r="AB223" s="221"/>
      <c r="AC223" s="602" t="s">
        <v>238</v>
      </c>
      <c r="AD223" s="221"/>
      <c r="AE223" s="221"/>
      <c r="AF223" s="602" t="s">
        <v>842</v>
      </c>
      <c r="AG223" s="221"/>
      <c r="AH223" s="221"/>
      <c r="AI223" s="221"/>
      <c r="AJ223" s="602" t="s">
        <v>227</v>
      </c>
      <c r="AK223" s="221"/>
      <c r="AL223" s="221"/>
      <c r="AM223" s="221"/>
      <c r="AN223" s="602" t="s">
        <v>237</v>
      </c>
      <c r="AO223" s="221"/>
      <c r="AP223" s="221"/>
      <c r="AQ223" s="221"/>
      <c r="AR223" s="602" t="s">
        <v>231</v>
      </c>
      <c r="AS223" s="221"/>
      <c r="AT223" s="221"/>
      <c r="AU223" s="221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  <c r="BI223" s="206"/>
      <c r="BJ223" s="206"/>
      <c r="BK223" s="206"/>
      <c r="BL223" s="206"/>
      <c r="BM223" s="206"/>
      <c r="BN223" s="206"/>
      <c r="BO223" s="206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1"/>
      <c r="DF223" s="91"/>
      <c r="DG223" s="409"/>
      <c r="DH223" s="409"/>
      <c r="DI223" s="409"/>
      <c r="DJ223" s="409"/>
      <c r="DK223" s="409"/>
      <c r="DL223" s="409"/>
      <c r="DM223" s="409"/>
      <c r="DN223" s="409"/>
      <c r="DO223" s="409"/>
      <c r="DP223" s="409"/>
      <c r="DQ223" s="409"/>
      <c r="DR223" s="409"/>
      <c r="DS223" s="409"/>
      <c r="DT223" s="409"/>
      <c r="DU223" s="409"/>
      <c r="DV223" s="409"/>
      <c r="DW223" s="409"/>
      <c r="DX223" s="409"/>
      <c r="DY223" s="409"/>
      <c r="DZ223" s="409"/>
      <c r="EA223" s="409"/>
      <c r="EB223" s="409"/>
      <c r="EC223" s="409"/>
      <c r="ED223" s="409"/>
    </row>
    <row r="224" spans="1:134" ht="23.05" customHeight="1">
      <c r="A224" s="63"/>
      <c r="B224" s="995" t="s">
        <v>896</v>
      </c>
      <c r="C224" s="996"/>
      <c r="D224" s="672" t="s">
        <v>849</v>
      </c>
      <c r="E224" s="689" t="s">
        <v>820</v>
      </c>
      <c r="F224" s="690" t="s">
        <v>834</v>
      </c>
      <c r="G224" s="690" t="s">
        <v>821</v>
      </c>
      <c r="H224" s="690" t="s">
        <v>834</v>
      </c>
      <c r="I224" s="673" t="s">
        <v>847</v>
      </c>
      <c r="J224" s="946"/>
      <c r="K224" s="947"/>
      <c r="L224" s="695" t="s">
        <v>839</v>
      </c>
      <c r="M224" s="817"/>
      <c r="N224" s="990">
        <f t="shared" si="71"/>
        <v>0</v>
      </c>
      <c r="O224" s="991"/>
      <c r="P224" s="682"/>
      <c r="Q224" s="687" t="str">
        <f t="shared" si="72"/>
        <v/>
      </c>
      <c r="R224" s="220" t="str">
        <f>IF($M224="","",$M224*PRIJZEN!I76)</f>
        <v/>
      </c>
      <c r="S224" s="220">
        <f t="shared" si="73"/>
        <v>0</v>
      </c>
      <c r="T224" s="216">
        <f t="shared" si="74"/>
        <v>0</v>
      </c>
      <c r="U224" s="683" t="s">
        <v>822</v>
      </c>
      <c r="V224" s="216"/>
      <c r="W224" s="686"/>
      <c r="X224" s="221"/>
      <c r="Y224" s="221"/>
      <c r="Z224" s="602" t="s">
        <v>827</v>
      </c>
      <c r="AA224" s="221"/>
      <c r="AB224" s="221"/>
      <c r="AC224" s="221" t="s">
        <v>226</v>
      </c>
      <c r="AD224" s="221"/>
      <c r="AE224" s="221"/>
      <c r="AF224" s="602" t="s">
        <v>844</v>
      </c>
      <c r="AG224" s="221"/>
      <c r="AH224" s="221"/>
      <c r="AI224" s="221"/>
      <c r="AJ224" s="602" t="s">
        <v>228</v>
      </c>
      <c r="AK224" s="221"/>
      <c r="AL224" s="221"/>
      <c r="AM224" s="221"/>
      <c r="AN224" s="602" t="s">
        <v>836</v>
      </c>
      <c r="AO224" s="221"/>
      <c r="AP224" s="221"/>
      <c r="AQ224" s="221"/>
      <c r="AR224" s="602" t="s">
        <v>295</v>
      </c>
      <c r="AS224" s="221"/>
      <c r="AT224" s="221"/>
      <c r="AU224" s="221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  <c r="BI224" s="206"/>
      <c r="BJ224" s="206"/>
      <c r="BK224" s="206"/>
      <c r="BL224" s="206"/>
      <c r="BM224" s="206"/>
      <c r="BN224" s="206"/>
      <c r="BO224" s="206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1"/>
      <c r="DF224" s="91"/>
      <c r="DG224" s="409"/>
      <c r="DH224" s="409"/>
      <c r="DI224" s="409"/>
      <c r="DJ224" s="409"/>
      <c r="DK224" s="409"/>
      <c r="DL224" s="409"/>
      <c r="DM224" s="409"/>
      <c r="DN224" s="409"/>
      <c r="DO224" s="409"/>
      <c r="DP224" s="409"/>
      <c r="DQ224" s="409"/>
      <c r="DR224" s="409"/>
      <c r="DS224" s="409"/>
      <c r="DT224" s="409"/>
      <c r="DU224" s="409"/>
      <c r="DV224" s="409"/>
      <c r="DW224" s="409"/>
      <c r="DX224" s="409"/>
      <c r="DY224" s="409"/>
      <c r="DZ224" s="409"/>
      <c r="EA224" s="409"/>
      <c r="EB224" s="409"/>
      <c r="EC224" s="409"/>
      <c r="ED224" s="409"/>
    </row>
    <row r="225" spans="1:134" ht="23.05" customHeight="1" thickBot="1">
      <c r="A225" s="63"/>
      <c r="B225" s="995" t="s">
        <v>895</v>
      </c>
      <c r="C225" s="996"/>
      <c r="D225" s="674" t="s">
        <v>900</v>
      </c>
      <c r="E225" s="689" t="s">
        <v>820</v>
      </c>
      <c r="F225" s="688" t="s">
        <v>852</v>
      </c>
      <c r="G225" s="690" t="s">
        <v>821</v>
      </c>
      <c r="H225" s="688" t="s">
        <v>852</v>
      </c>
      <c r="I225" s="671" t="s">
        <v>847</v>
      </c>
      <c r="J225" s="946"/>
      <c r="K225" s="947"/>
      <c r="L225" s="696" t="s">
        <v>839</v>
      </c>
      <c r="M225" s="816"/>
      <c r="N225" s="986">
        <f>IF(Q225="Minimaal 2 personen!","minimaal 2 personen!",SUM(R225:T225))</f>
        <v>0</v>
      </c>
      <c r="O225" s="987"/>
      <c r="P225" s="682"/>
      <c r="Q225" s="687" t="str">
        <f>IF(AND($M225&gt;0,$M225&lt;2),"minimaal 2 personen!",$R225)</f>
        <v/>
      </c>
      <c r="R225" s="220" t="str">
        <f>IF($M225="","",$M225*PRIJZEN!I77)</f>
        <v/>
      </c>
      <c r="S225" s="220">
        <f t="shared" si="73"/>
        <v>0</v>
      </c>
      <c r="T225" s="216">
        <f t="shared" si="74"/>
        <v>0</v>
      </c>
      <c r="U225" s="220"/>
      <c r="V225" s="216"/>
      <c r="W225" s="686"/>
      <c r="X225" s="221"/>
      <c r="Y225" s="221"/>
      <c r="Z225" s="602" t="s">
        <v>828</v>
      </c>
      <c r="AA225" s="221"/>
      <c r="AB225" s="221"/>
      <c r="AC225" s="602" t="s">
        <v>235</v>
      </c>
      <c r="AD225" s="221"/>
      <c r="AE225" s="221"/>
      <c r="AF225" s="602" t="s">
        <v>846</v>
      </c>
      <c r="AG225" s="221"/>
      <c r="AH225" s="221"/>
      <c r="AI225" s="221"/>
      <c r="AJ225" s="602" t="s">
        <v>297</v>
      </c>
      <c r="AK225" s="221"/>
      <c r="AL225" s="221"/>
      <c r="AM225" s="221"/>
      <c r="AN225" s="602" t="s">
        <v>835</v>
      </c>
      <c r="AO225" s="221"/>
      <c r="AP225" s="221"/>
      <c r="AQ225" s="221"/>
      <c r="AR225" s="221"/>
      <c r="AS225" s="221"/>
      <c r="AT225" s="221"/>
      <c r="AU225" s="221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  <c r="BI225" s="206"/>
      <c r="BJ225" s="206"/>
      <c r="BK225" s="206"/>
      <c r="BL225" s="206"/>
      <c r="BM225" s="206"/>
      <c r="BN225" s="206"/>
      <c r="BO225" s="206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409"/>
      <c r="DH225" s="409"/>
      <c r="DI225" s="409"/>
      <c r="DJ225" s="409"/>
      <c r="DK225" s="409"/>
      <c r="DL225" s="409"/>
      <c r="DM225" s="409"/>
      <c r="DN225" s="409"/>
      <c r="DO225" s="409"/>
      <c r="DP225" s="409"/>
      <c r="DQ225" s="409"/>
      <c r="DR225" s="409"/>
      <c r="DS225" s="409"/>
      <c r="DT225" s="409"/>
      <c r="DU225" s="409"/>
      <c r="DV225" s="409"/>
      <c r="DW225" s="409"/>
      <c r="DX225" s="409"/>
      <c r="DY225" s="409"/>
      <c r="DZ225" s="409"/>
      <c r="EA225" s="409"/>
      <c r="EB225" s="409"/>
      <c r="EC225" s="409"/>
      <c r="ED225" s="409"/>
    </row>
    <row r="226" spans="1:134" ht="23.05" customHeight="1">
      <c r="A226" s="63"/>
      <c r="B226" s="791"/>
      <c r="C226" s="704"/>
      <c r="D226" s="676" t="s">
        <v>468</v>
      </c>
      <c r="E226" s="691" t="s">
        <v>820</v>
      </c>
      <c r="F226" s="692" t="s">
        <v>833</v>
      </c>
      <c r="G226" s="700"/>
      <c r="H226" s="701"/>
      <c r="I226" s="675" t="s">
        <v>847</v>
      </c>
      <c r="J226" s="946"/>
      <c r="K226" s="947"/>
      <c r="L226" s="782" t="s">
        <v>840</v>
      </c>
      <c r="M226" s="818"/>
      <c r="N226" s="988">
        <f t="shared" si="71"/>
        <v>0</v>
      </c>
      <c r="O226" s="989"/>
      <c r="P226" s="682"/>
      <c r="Q226" s="687" t="str">
        <f t="shared" si="72"/>
        <v/>
      </c>
      <c r="R226" s="220" t="str">
        <f>IF($M226="","",$M226*PRIJZEN!I78)</f>
        <v/>
      </c>
      <c r="S226" s="220">
        <f t="shared" si="73"/>
        <v>0</v>
      </c>
      <c r="T226" s="216">
        <f t="shared" si="74"/>
        <v>0</v>
      </c>
      <c r="U226" s="220" t="s">
        <v>823</v>
      </c>
      <c r="V226" s="221"/>
      <c r="W226" s="67"/>
      <c r="X226" s="221"/>
      <c r="Y226" s="221"/>
      <c r="Z226" s="602" t="s">
        <v>893</v>
      </c>
      <c r="AA226" s="221"/>
      <c r="AB226" s="221"/>
      <c r="AC226" s="602" t="s">
        <v>296</v>
      </c>
      <c r="AD226" s="221"/>
      <c r="AE226" s="221"/>
      <c r="AF226" s="602" t="s">
        <v>845</v>
      </c>
      <c r="AG226" s="221"/>
      <c r="AH226" s="221"/>
      <c r="AI226" s="221"/>
      <c r="AJ226" s="602" t="s">
        <v>230</v>
      </c>
      <c r="AK226" s="221"/>
      <c r="AL226" s="221"/>
      <c r="AM226" s="221"/>
      <c r="AN226" s="602"/>
      <c r="AO226" s="221"/>
      <c r="AP226" s="221"/>
      <c r="AQ226" s="221"/>
      <c r="AR226" s="221"/>
      <c r="AS226" s="221"/>
      <c r="AT226" s="221"/>
      <c r="AU226" s="221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  <c r="BI226" s="206"/>
      <c r="BJ226" s="206"/>
      <c r="BK226" s="206"/>
      <c r="BL226" s="206"/>
      <c r="BM226" s="206"/>
      <c r="BN226" s="206"/>
      <c r="BO226" s="206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1"/>
      <c r="DF226" s="91"/>
      <c r="DG226" s="409"/>
      <c r="DH226" s="409"/>
      <c r="DI226" s="409"/>
      <c r="DJ226" s="409"/>
      <c r="DK226" s="409"/>
      <c r="DL226" s="409"/>
      <c r="DM226" s="409"/>
      <c r="DN226" s="409"/>
      <c r="DO226" s="409"/>
      <c r="DP226" s="409"/>
      <c r="DQ226" s="409"/>
      <c r="DR226" s="409"/>
      <c r="DS226" s="409"/>
      <c r="DT226" s="409"/>
      <c r="DU226" s="409"/>
      <c r="DV226" s="409"/>
      <c r="DW226" s="409"/>
      <c r="DX226" s="409"/>
      <c r="DY226" s="409"/>
      <c r="DZ226" s="409"/>
      <c r="EA226" s="409"/>
      <c r="EB226" s="409"/>
      <c r="EC226" s="409"/>
      <c r="ED226" s="409"/>
    </row>
    <row r="227" spans="1:134" ht="23.05" customHeight="1">
      <c r="A227" s="63"/>
      <c r="B227" s="791"/>
      <c r="C227" s="704"/>
      <c r="D227" s="783" t="s">
        <v>850</v>
      </c>
      <c r="E227" s="784" t="s">
        <v>820</v>
      </c>
      <c r="F227" s="785" t="s">
        <v>833</v>
      </c>
      <c r="G227" s="702"/>
      <c r="H227" s="703"/>
      <c r="I227" s="786" t="s">
        <v>847</v>
      </c>
      <c r="J227" s="948" t="s">
        <v>830</v>
      </c>
      <c r="K227" s="949"/>
      <c r="L227" s="787" t="s">
        <v>840</v>
      </c>
      <c r="M227" s="819"/>
      <c r="N227" s="992">
        <f t="shared" si="71"/>
        <v>0</v>
      </c>
      <c r="O227" s="993"/>
      <c r="P227" s="682"/>
      <c r="Q227" s="687" t="str">
        <f t="shared" si="72"/>
        <v/>
      </c>
      <c r="R227" s="220" t="str">
        <f>IF($M227="","",$M227*PRIJZEN!I79)</f>
        <v/>
      </c>
      <c r="S227" s="220">
        <f t="shared" si="73"/>
        <v>0</v>
      </c>
      <c r="T227" s="216">
        <f t="shared" si="74"/>
        <v>0</v>
      </c>
      <c r="U227" s="220" t="s">
        <v>824</v>
      </c>
      <c r="V227" s="221"/>
      <c r="W227" s="67"/>
      <c r="X227" s="221"/>
      <c r="Y227" s="221"/>
      <c r="Z227" s="602" t="s">
        <v>829</v>
      </c>
      <c r="AA227" s="221"/>
      <c r="AB227" s="221"/>
      <c r="AC227" s="602"/>
      <c r="AD227" s="221"/>
      <c r="AE227" s="221"/>
      <c r="AF227" s="602"/>
      <c r="AG227" s="221"/>
      <c r="AH227" s="221"/>
      <c r="AI227" s="221"/>
      <c r="AJ227" s="602" t="s">
        <v>894</v>
      </c>
      <c r="AK227" s="221"/>
      <c r="AL227" s="221"/>
      <c r="AM227" s="221"/>
      <c r="AN227" s="221"/>
      <c r="AO227" s="221"/>
      <c r="AP227" s="221"/>
      <c r="AQ227" s="221"/>
      <c r="AR227" s="221"/>
      <c r="AS227" s="221"/>
      <c r="AT227" s="221"/>
      <c r="AU227" s="221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  <c r="BI227" s="206"/>
      <c r="BJ227" s="206"/>
      <c r="BK227" s="206"/>
      <c r="BL227" s="206"/>
      <c r="BM227" s="206"/>
      <c r="BN227" s="206"/>
      <c r="BO227" s="206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1"/>
      <c r="DF227" s="91"/>
      <c r="DG227" s="409"/>
      <c r="DH227" s="409"/>
      <c r="DI227" s="409"/>
      <c r="DJ227" s="409"/>
      <c r="DK227" s="409"/>
      <c r="DL227" s="409"/>
      <c r="DM227" s="409"/>
      <c r="DN227" s="409"/>
      <c r="DO227" s="409"/>
      <c r="DP227" s="409"/>
      <c r="DQ227" s="409"/>
      <c r="DR227" s="409"/>
      <c r="DS227" s="409"/>
      <c r="DT227" s="409"/>
      <c r="DU227" s="409"/>
      <c r="DV227" s="409"/>
      <c r="DW227" s="409"/>
      <c r="DX227" s="409"/>
      <c r="DY227" s="409"/>
      <c r="DZ227" s="409"/>
      <c r="EA227" s="409"/>
      <c r="EB227" s="409"/>
      <c r="EC227" s="409"/>
      <c r="ED227" s="409"/>
    </row>
    <row r="228" spans="1:134" ht="23.05" thickBot="1">
      <c r="A228" s="63"/>
      <c r="B228" s="677" t="s">
        <v>283</v>
      </c>
      <c r="C228" s="1329" t="s">
        <v>761</v>
      </c>
      <c r="D228" s="1330"/>
      <c r="E228" s="1330"/>
      <c r="F228" s="1330"/>
      <c r="G228" s="1330"/>
      <c r="H228" s="1330"/>
      <c r="I228" s="1330"/>
      <c r="J228" s="1330"/>
      <c r="K228" s="1330"/>
      <c r="L228" s="1330"/>
      <c r="M228" s="1330"/>
      <c r="N228" s="1330"/>
      <c r="O228" s="1331"/>
      <c r="P228" s="682"/>
      <c r="Q228" s="65"/>
      <c r="R228" s="205"/>
      <c r="S228" s="221"/>
      <c r="T228" s="221"/>
      <c r="U228" s="221"/>
      <c r="V228" s="221"/>
      <c r="W228" s="67"/>
      <c r="X228" s="221"/>
      <c r="Y228" s="221"/>
      <c r="Z228" s="602"/>
      <c r="AA228" s="221"/>
      <c r="AB228" s="221"/>
      <c r="AC228" s="221"/>
      <c r="AD228" s="221"/>
      <c r="AE228" s="221"/>
      <c r="AF228" s="221"/>
      <c r="AG228" s="221"/>
      <c r="AH228" s="221"/>
      <c r="AI228" s="221"/>
      <c r="AJ228" s="602"/>
      <c r="AK228" s="221"/>
      <c r="AL228" s="221"/>
      <c r="AM228" s="221"/>
      <c r="AN228" s="221"/>
      <c r="AO228" s="221"/>
      <c r="AP228" s="221"/>
      <c r="AQ228" s="221"/>
      <c r="AR228" s="221"/>
      <c r="AS228" s="221"/>
      <c r="AT228" s="221"/>
      <c r="AU228" s="221"/>
      <c r="AV228" s="205"/>
      <c r="AW228" s="205"/>
      <c r="AX228" s="205"/>
      <c r="AY228" s="205"/>
      <c r="AZ228" s="205"/>
      <c r="BA228" s="205"/>
      <c r="BB228" s="205"/>
      <c r="BC228" s="205"/>
      <c r="BD228" s="20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1"/>
      <c r="DF228" s="91"/>
      <c r="DG228" s="409"/>
      <c r="DH228" s="409"/>
      <c r="DI228" s="409"/>
      <c r="DJ228" s="409"/>
      <c r="DK228" s="409"/>
      <c r="DL228" s="409"/>
      <c r="DM228" s="409"/>
      <c r="DN228" s="409"/>
      <c r="DO228" s="409"/>
      <c r="DP228" s="409"/>
      <c r="DQ228" s="409"/>
      <c r="DR228" s="409"/>
      <c r="DS228" s="409"/>
      <c r="DT228" s="409"/>
      <c r="DU228" s="409"/>
      <c r="DV228" s="409"/>
      <c r="DW228" s="409"/>
      <c r="DX228" s="409"/>
      <c r="DY228" s="409"/>
      <c r="DZ228" s="409"/>
      <c r="EA228" s="409"/>
      <c r="EB228" s="409"/>
      <c r="EC228" s="409"/>
      <c r="ED228" s="409"/>
    </row>
    <row r="229" spans="1:134" ht="20.05" customHeight="1">
      <c r="A229" s="63"/>
      <c r="B229" s="150"/>
      <c r="C229" s="164"/>
      <c r="D229" s="1319" t="s">
        <v>656</v>
      </c>
      <c r="E229" s="1320"/>
      <c r="F229" s="1320"/>
      <c r="G229" s="1320"/>
      <c r="H229" s="1321"/>
      <c r="I229" s="1097" t="s">
        <v>259</v>
      </c>
      <c r="J229" s="1098"/>
      <c r="K229" s="1098"/>
      <c r="L229" s="1098"/>
      <c r="M229" s="1098"/>
      <c r="N229" s="1080" t="str">
        <f>IF(OR($D229="klik &amp; kies smoothies &amp; dranken",$I229="klik &amp; kies aantal"),"",SUM($Q229:$AI229))</f>
        <v/>
      </c>
      <c r="O229" s="1068"/>
      <c r="P229" s="359"/>
      <c r="Q229" s="222">
        <f>IF($D229=$AW$234,$BD$234*$I229,0)</f>
        <v>0</v>
      </c>
      <c r="R229" s="222">
        <f>IF($D229=$AW$235,$BD$235*$I229,0)</f>
        <v>0</v>
      </c>
      <c r="S229" s="222"/>
      <c r="T229" s="222">
        <f>IF($D229=$AW$239,$BD$239*$I229,0)</f>
        <v>0</v>
      </c>
      <c r="U229" s="222">
        <f>IF($D229=$AW$240,$BD$240*$I229,0)</f>
        <v>0</v>
      </c>
      <c r="V229" s="222">
        <f>IF($D229=$AW$241,$BD$241*$I229,0)</f>
        <v>0</v>
      </c>
      <c r="W229" s="222">
        <f>IF($D229=$AW$242,$BD$242*$I229,0)</f>
        <v>0</v>
      </c>
      <c r="X229" s="222">
        <f>IF($D229=$AW$243,$BD$243*$I229,0)</f>
        <v>0</v>
      </c>
      <c r="Y229" s="222">
        <f>IF($D229=$AW$244,$BD$244*$I229,0)</f>
        <v>0</v>
      </c>
      <c r="Z229" s="222">
        <f>IF($D229=$AW$245,$BD$245*$I229,0)</f>
        <v>0</v>
      </c>
      <c r="AA229" s="222">
        <f>IF($D229=$AW$246,$BD$246*$I229,0)</f>
        <v>0</v>
      </c>
      <c r="AB229" s="222">
        <f>IF($D229=$AW$247,$BD$247*$I229,0)</f>
        <v>0</v>
      </c>
      <c r="AC229" s="222">
        <f>IF($D229=$AW$248,$BD$248*$I229,0)</f>
        <v>0</v>
      </c>
      <c r="AD229" s="222">
        <f>IF($D229=$AW$249,$BD$249*$I229,0)</f>
        <v>0</v>
      </c>
      <c r="AE229" s="222">
        <f>IF($D229=$AW$250,$BD$250*$I229,0)</f>
        <v>0</v>
      </c>
      <c r="AF229" s="222">
        <f>IF($D229=$AW$251,$BD$251*$I229,0)</f>
        <v>0</v>
      </c>
      <c r="AG229" s="222">
        <f>IF($D229=$AW$252,$BD$252*$I229,0)</f>
        <v>0</v>
      </c>
      <c r="AH229" s="222">
        <f>IF($D229=$AW$253,$BD$253*$I229,0)</f>
        <v>0</v>
      </c>
      <c r="AI229" s="222">
        <f>IF($D229=$AW$254,$BD$254*$I229,0)</f>
        <v>0</v>
      </c>
      <c r="AJ229" s="602" t="s">
        <v>466</v>
      </c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19"/>
      <c r="AX229" s="205"/>
      <c r="AY229" s="205"/>
      <c r="AZ229" s="205"/>
      <c r="BA229" s="205"/>
      <c r="BB229" s="205"/>
      <c r="BC229" s="205"/>
      <c r="BD229" s="219"/>
      <c r="BE229" s="65"/>
      <c r="BF229" s="65"/>
      <c r="BG229" s="219" t="s">
        <v>259</v>
      </c>
      <c r="BH229" s="65"/>
      <c r="BI229" s="219" t="s">
        <v>305</v>
      </c>
      <c r="BJ229" s="65"/>
      <c r="BK229" s="219" t="s">
        <v>282</v>
      </c>
      <c r="BL229" s="65"/>
      <c r="BM229" s="65"/>
      <c r="BN229" s="65"/>
      <c r="BO229" s="65"/>
      <c r="BP229" s="219" t="s">
        <v>294</v>
      </c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1"/>
      <c r="DF229" s="91"/>
      <c r="DG229" s="409"/>
      <c r="DH229" s="409"/>
      <c r="DI229" s="409"/>
      <c r="DJ229" s="409"/>
      <c r="DK229" s="409"/>
      <c r="DL229" s="409"/>
      <c r="DM229" s="409"/>
      <c r="DN229" s="409"/>
      <c r="DO229" s="409"/>
      <c r="DP229" s="409"/>
      <c r="DQ229" s="409"/>
      <c r="DR229" s="409"/>
      <c r="DS229" s="409"/>
      <c r="DT229" s="409"/>
      <c r="DU229" s="409"/>
      <c r="DV229" s="409"/>
      <c r="DW229" s="409"/>
      <c r="DX229" s="409"/>
      <c r="DY229" s="409"/>
      <c r="DZ229" s="409"/>
      <c r="EA229" s="409"/>
      <c r="EB229" s="409"/>
      <c r="EC229" s="409"/>
      <c r="ED229" s="409"/>
    </row>
    <row r="230" spans="1:134" ht="20.05" customHeight="1">
      <c r="A230" s="63"/>
      <c r="B230" s="150"/>
      <c r="C230" s="164"/>
      <c r="D230" s="1097" t="s">
        <v>656</v>
      </c>
      <c r="E230" s="1098"/>
      <c r="F230" s="1098"/>
      <c r="G230" s="1098"/>
      <c r="H230" s="1099"/>
      <c r="I230" s="1094" t="s">
        <v>259</v>
      </c>
      <c r="J230" s="1095"/>
      <c r="K230" s="1095"/>
      <c r="L230" s="1095"/>
      <c r="M230" s="1096"/>
      <c r="N230" s="1043" t="str">
        <f t="shared" ref="N230:N238" si="75">IF(OR($D230="klik &amp; kies smoothies &amp; dranken",$I230="klik &amp; kies aantal"),"",SUM($Q230:$AI230))</f>
        <v/>
      </c>
      <c r="O230" s="1044"/>
      <c r="P230" s="359"/>
      <c r="Q230" s="222">
        <f t="shared" ref="Q230:Q238" si="76">IF($D230=$AW$234,$BD$234*$I230,0)</f>
        <v>0</v>
      </c>
      <c r="R230" s="222">
        <f t="shared" ref="R230:R238" si="77">IF($D230=$AW$235,$BD$235*$I230,0)</f>
        <v>0</v>
      </c>
      <c r="S230" s="222"/>
      <c r="T230" s="222">
        <f t="shared" ref="T230:T238" si="78">IF($D230=$AW$239,$BD$239*$I230,0)</f>
        <v>0</v>
      </c>
      <c r="U230" s="222">
        <f t="shared" ref="U230:U238" si="79">IF($D230=$AW$240,$BD$240*$I230,0)</f>
        <v>0</v>
      </c>
      <c r="V230" s="222">
        <f t="shared" ref="V230:V238" si="80">IF($D230=$AW$241,$BD$241*$I230,0)</f>
        <v>0</v>
      </c>
      <c r="W230" s="222">
        <f t="shared" ref="W230:W238" si="81">IF($D230=$AW$242,$BD$242*$I230,0)</f>
        <v>0</v>
      </c>
      <c r="X230" s="222">
        <f t="shared" ref="X230:X238" si="82">IF($D230=$AW$243,$BD$243*$I230,0)</f>
        <v>0</v>
      </c>
      <c r="Y230" s="222">
        <f t="shared" ref="Y230:Y238" si="83">IF($D230=$AW$244,$BD$244*$I230,0)</f>
        <v>0</v>
      </c>
      <c r="Z230" s="222">
        <f t="shared" ref="Z230:Z238" si="84">IF($D230=$AW$245,$BD$245*$I230,0)</f>
        <v>0</v>
      </c>
      <c r="AA230" s="222">
        <f t="shared" ref="AA230:AA238" si="85">IF($D230=$AW$246,$BD$246*$I230,0)</f>
        <v>0</v>
      </c>
      <c r="AB230" s="222">
        <f t="shared" ref="AB230:AB238" si="86">IF($D230=$AW$247,$BD$247*$I230,0)</f>
        <v>0</v>
      </c>
      <c r="AC230" s="222">
        <f t="shared" ref="AC230:AC238" si="87">IF($D230=$AW$248,$BD$248*$I230,0)</f>
        <v>0</v>
      </c>
      <c r="AD230" s="222">
        <f t="shared" ref="AD230:AD238" si="88">IF($D230=$AW$249,$BD$249*$I230,0)</f>
        <v>0</v>
      </c>
      <c r="AE230" s="222">
        <f t="shared" ref="AE230:AE238" si="89">IF($D230=$AW$250,$BD$250*$I230,0)</f>
        <v>0</v>
      </c>
      <c r="AF230" s="222">
        <f t="shared" ref="AF230:AF238" si="90">IF($D230=$AW$251,$BD$251*$I230,0)</f>
        <v>0</v>
      </c>
      <c r="AG230" s="222">
        <f t="shared" ref="AG230:AG238" si="91">IF($D230=$AW$252,$BD$252*$I230,0)</f>
        <v>0</v>
      </c>
      <c r="AH230" s="222">
        <f t="shared" ref="AH230:AH238" si="92">IF($D230=$AW$253,$BD$253*$I230,0)</f>
        <v>0</v>
      </c>
      <c r="AI230" s="222">
        <f t="shared" ref="AI230:AI238" si="93">IF($D230=$AW$254,$BD$254*$I230,0)</f>
        <v>0</v>
      </c>
      <c r="AJ230" s="602" t="s">
        <v>231</v>
      </c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19"/>
      <c r="AX230" s="205"/>
      <c r="AY230" s="205"/>
      <c r="AZ230" s="205"/>
      <c r="BA230" s="205"/>
      <c r="BB230" s="205"/>
      <c r="BC230" s="205"/>
      <c r="BD230" s="201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1"/>
      <c r="DF230" s="91"/>
      <c r="DG230" s="409"/>
      <c r="DH230" s="409"/>
      <c r="DI230" s="409"/>
      <c r="DJ230" s="409"/>
      <c r="DK230" s="409"/>
      <c r="DL230" s="409"/>
      <c r="DM230" s="409"/>
      <c r="DN230" s="409"/>
      <c r="DO230" s="409"/>
      <c r="DP230" s="409"/>
      <c r="DQ230" s="409"/>
      <c r="DR230" s="409"/>
      <c r="DS230" s="409"/>
      <c r="DT230" s="409"/>
      <c r="DU230" s="409"/>
      <c r="DV230" s="409"/>
      <c r="DW230" s="409"/>
      <c r="DX230" s="409"/>
      <c r="DY230" s="409"/>
      <c r="DZ230" s="409"/>
      <c r="EA230" s="409"/>
      <c r="EB230" s="409"/>
      <c r="EC230" s="409"/>
      <c r="ED230" s="409"/>
    </row>
    <row r="231" spans="1:134" ht="20.05" customHeight="1">
      <c r="A231" s="63"/>
      <c r="B231" s="150"/>
      <c r="C231" s="164"/>
      <c r="D231" s="1094" t="s">
        <v>656</v>
      </c>
      <c r="E231" s="1095"/>
      <c r="F231" s="1095"/>
      <c r="G231" s="1095"/>
      <c r="H231" s="1096"/>
      <c r="I231" s="1094" t="s">
        <v>259</v>
      </c>
      <c r="J231" s="1095"/>
      <c r="K231" s="1095"/>
      <c r="L231" s="1095"/>
      <c r="M231" s="1096"/>
      <c r="N231" s="1080" t="str">
        <f t="shared" si="75"/>
        <v/>
      </c>
      <c r="O231" s="1068"/>
      <c r="P231" s="359"/>
      <c r="Q231" s="222">
        <f t="shared" si="76"/>
        <v>0</v>
      </c>
      <c r="R231" s="222">
        <f t="shared" si="77"/>
        <v>0</v>
      </c>
      <c r="S231" s="222"/>
      <c r="T231" s="222">
        <f t="shared" si="78"/>
        <v>0</v>
      </c>
      <c r="U231" s="222">
        <f t="shared" si="79"/>
        <v>0</v>
      </c>
      <c r="V231" s="222">
        <f t="shared" si="80"/>
        <v>0</v>
      </c>
      <c r="W231" s="222">
        <f t="shared" si="81"/>
        <v>0</v>
      </c>
      <c r="X231" s="222">
        <f t="shared" si="82"/>
        <v>0</v>
      </c>
      <c r="Y231" s="222">
        <f t="shared" si="83"/>
        <v>0</v>
      </c>
      <c r="Z231" s="222">
        <f t="shared" si="84"/>
        <v>0</v>
      </c>
      <c r="AA231" s="222">
        <f t="shared" si="85"/>
        <v>0</v>
      </c>
      <c r="AB231" s="222">
        <f t="shared" si="86"/>
        <v>0</v>
      </c>
      <c r="AC231" s="222">
        <f t="shared" si="87"/>
        <v>0</v>
      </c>
      <c r="AD231" s="222">
        <f t="shared" si="88"/>
        <v>0</v>
      </c>
      <c r="AE231" s="222">
        <f t="shared" si="89"/>
        <v>0</v>
      </c>
      <c r="AF231" s="222">
        <f t="shared" si="90"/>
        <v>0</v>
      </c>
      <c r="AG231" s="222">
        <f t="shared" si="91"/>
        <v>0</v>
      </c>
      <c r="AH231" s="222">
        <f t="shared" si="92"/>
        <v>0</v>
      </c>
      <c r="AI231" s="222">
        <f t="shared" si="93"/>
        <v>0</v>
      </c>
      <c r="AJ231" s="602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19" t="s">
        <v>656</v>
      </c>
      <c r="AX231" s="205"/>
      <c r="AY231" s="205"/>
      <c r="AZ231" s="205"/>
      <c r="BA231" s="205"/>
      <c r="BB231" s="205"/>
      <c r="BC231" s="205"/>
      <c r="BD231" s="201"/>
      <c r="BE231" s="65"/>
      <c r="BF231" s="65"/>
      <c r="BG231" s="65">
        <v>1</v>
      </c>
      <c r="BH231" s="65"/>
      <c r="BI231" s="65">
        <v>10</v>
      </c>
      <c r="BJ231" s="65"/>
      <c r="BK231" s="201" t="s">
        <v>469</v>
      </c>
      <c r="BL231" s="65"/>
      <c r="BM231" s="65"/>
      <c r="BN231" s="223">
        <f>PRIJZEN!I41</f>
        <v>1.95</v>
      </c>
      <c r="BO231" s="65"/>
      <c r="BP231" s="65">
        <v>2</v>
      </c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1"/>
      <c r="DF231" s="91"/>
      <c r="DG231" s="409"/>
      <c r="DH231" s="409"/>
      <c r="DI231" s="409"/>
      <c r="DJ231" s="409"/>
      <c r="DK231" s="409"/>
      <c r="DL231" s="409"/>
      <c r="DM231" s="409"/>
      <c r="DN231" s="409"/>
      <c r="DO231" s="409"/>
      <c r="DP231" s="409"/>
      <c r="DQ231" s="409"/>
      <c r="DR231" s="409"/>
      <c r="DS231" s="409"/>
      <c r="DT231" s="409"/>
      <c r="DU231" s="409"/>
      <c r="DV231" s="409"/>
      <c r="DW231" s="409"/>
      <c r="DX231" s="409"/>
      <c r="DY231" s="409"/>
      <c r="DZ231" s="409"/>
      <c r="EA231" s="409"/>
      <c r="EB231" s="409"/>
      <c r="EC231" s="409"/>
      <c r="ED231" s="409"/>
    </row>
    <row r="232" spans="1:134" ht="20.05" customHeight="1">
      <c r="A232" s="63"/>
      <c r="B232" s="994" t="s">
        <v>118</v>
      </c>
      <c r="C232" s="1142"/>
      <c r="D232" s="1094" t="s">
        <v>656</v>
      </c>
      <c r="E232" s="1095"/>
      <c r="F232" s="1095"/>
      <c r="G232" s="1095"/>
      <c r="H232" s="1096"/>
      <c r="I232" s="1097" t="s">
        <v>259</v>
      </c>
      <c r="J232" s="1098"/>
      <c r="K232" s="1098"/>
      <c r="L232" s="1098"/>
      <c r="M232" s="1099"/>
      <c r="N232" s="1043" t="str">
        <f t="shared" si="75"/>
        <v/>
      </c>
      <c r="O232" s="1044"/>
      <c r="P232" s="359"/>
      <c r="Q232" s="222">
        <f t="shared" si="76"/>
        <v>0</v>
      </c>
      <c r="R232" s="222">
        <f t="shared" si="77"/>
        <v>0</v>
      </c>
      <c r="S232" s="222"/>
      <c r="T232" s="222">
        <f t="shared" si="78"/>
        <v>0</v>
      </c>
      <c r="U232" s="222">
        <f t="shared" si="79"/>
        <v>0</v>
      </c>
      <c r="V232" s="222">
        <f t="shared" si="80"/>
        <v>0</v>
      </c>
      <c r="W232" s="222">
        <f t="shared" si="81"/>
        <v>0</v>
      </c>
      <c r="X232" s="222">
        <f t="shared" si="82"/>
        <v>0</v>
      </c>
      <c r="Y232" s="222">
        <f t="shared" si="83"/>
        <v>0</v>
      </c>
      <c r="Z232" s="222">
        <f t="shared" si="84"/>
        <v>0</v>
      </c>
      <c r="AA232" s="222">
        <f t="shared" si="85"/>
        <v>0</v>
      </c>
      <c r="AB232" s="222">
        <f t="shared" si="86"/>
        <v>0</v>
      </c>
      <c r="AC232" s="222">
        <f t="shared" si="87"/>
        <v>0</v>
      </c>
      <c r="AD232" s="222">
        <f t="shared" si="88"/>
        <v>0</v>
      </c>
      <c r="AE232" s="222">
        <f t="shared" si="89"/>
        <v>0</v>
      </c>
      <c r="AF232" s="222">
        <f t="shared" si="90"/>
        <v>0</v>
      </c>
      <c r="AG232" s="222">
        <f t="shared" si="91"/>
        <v>0</v>
      </c>
      <c r="AH232" s="222">
        <f t="shared" si="92"/>
        <v>0</v>
      </c>
      <c r="AI232" s="222">
        <f t="shared" si="93"/>
        <v>0</v>
      </c>
      <c r="AJ232" s="602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65"/>
      <c r="AX232" s="205"/>
      <c r="AY232" s="205"/>
      <c r="AZ232" s="205"/>
      <c r="BA232" s="205"/>
      <c r="BB232" s="205"/>
      <c r="BC232" s="205"/>
      <c r="BD232" s="224"/>
      <c r="BE232" s="65"/>
      <c r="BF232" s="65"/>
      <c r="BG232" s="65">
        <f>SUM(BG231+1)</f>
        <v>2</v>
      </c>
      <c r="BH232" s="65"/>
      <c r="BI232" s="65">
        <f>SUM(BI231+1)</f>
        <v>11</v>
      </c>
      <c r="BJ232" s="65"/>
      <c r="BK232" s="201" t="s">
        <v>470</v>
      </c>
      <c r="BL232" s="65"/>
      <c r="BM232" s="65"/>
      <c r="BN232" s="223">
        <f>PRIJZEN!I42</f>
        <v>1.95</v>
      </c>
      <c r="BO232" s="65"/>
      <c r="BP232" s="65">
        <f>SUM(BP231+2)</f>
        <v>4</v>
      </c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1"/>
      <c r="DF232" s="91"/>
      <c r="DG232" s="409"/>
      <c r="DH232" s="409"/>
      <c r="DI232" s="409"/>
      <c r="DJ232" s="409"/>
      <c r="DK232" s="409"/>
      <c r="DL232" s="409"/>
      <c r="DM232" s="409"/>
      <c r="DN232" s="409"/>
      <c r="DO232" s="409"/>
      <c r="DP232" s="409"/>
      <c r="DQ232" s="409"/>
      <c r="DR232" s="409"/>
      <c r="DS232" s="409"/>
      <c r="DT232" s="409"/>
      <c r="DU232" s="409"/>
      <c r="DV232" s="409"/>
      <c r="DW232" s="409"/>
      <c r="DX232" s="409"/>
      <c r="DY232" s="409"/>
      <c r="DZ232" s="409"/>
      <c r="EA232" s="409"/>
      <c r="EB232" s="409"/>
      <c r="EC232" s="409"/>
      <c r="ED232" s="409"/>
    </row>
    <row r="233" spans="1:134" ht="20.05" customHeight="1">
      <c r="A233" s="63"/>
      <c r="B233" s="994" t="s">
        <v>897</v>
      </c>
      <c r="C233" s="1142"/>
      <c r="D233" s="1094" t="s">
        <v>656</v>
      </c>
      <c r="E233" s="1095"/>
      <c r="F233" s="1095"/>
      <c r="G233" s="1095"/>
      <c r="H233" s="1096"/>
      <c r="I233" s="1094" t="s">
        <v>259</v>
      </c>
      <c r="J233" s="1095"/>
      <c r="K233" s="1095"/>
      <c r="L233" s="1095"/>
      <c r="M233" s="1096"/>
      <c r="N233" s="1043" t="str">
        <f t="shared" si="75"/>
        <v/>
      </c>
      <c r="O233" s="1044"/>
      <c r="P233" s="359"/>
      <c r="Q233" s="222">
        <f t="shared" si="76"/>
        <v>0</v>
      </c>
      <c r="R233" s="222">
        <f t="shared" si="77"/>
        <v>0</v>
      </c>
      <c r="S233" s="222"/>
      <c r="T233" s="222">
        <f t="shared" si="78"/>
        <v>0</v>
      </c>
      <c r="U233" s="222">
        <f t="shared" si="79"/>
        <v>0</v>
      </c>
      <c r="V233" s="222">
        <f t="shared" si="80"/>
        <v>0</v>
      </c>
      <c r="W233" s="222">
        <f t="shared" si="81"/>
        <v>0</v>
      </c>
      <c r="X233" s="222">
        <f t="shared" si="82"/>
        <v>0</v>
      </c>
      <c r="Y233" s="222">
        <f t="shared" si="83"/>
        <v>0</v>
      </c>
      <c r="Z233" s="222">
        <f t="shared" si="84"/>
        <v>0</v>
      </c>
      <c r="AA233" s="222">
        <f t="shared" si="85"/>
        <v>0</v>
      </c>
      <c r="AB233" s="222">
        <f t="shared" si="86"/>
        <v>0</v>
      </c>
      <c r="AC233" s="222">
        <f t="shared" si="87"/>
        <v>0</v>
      </c>
      <c r="AD233" s="222">
        <f t="shared" si="88"/>
        <v>0</v>
      </c>
      <c r="AE233" s="222">
        <f t="shared" si="89"/>
        <v>0</v>
      </c>
      <c r="AF233" s="222">
        <f t="shared" si="90"/>
        <v>0</v>
      </c>
      <c r="AG233" s="222">
        <f t="shared" si="91"/>
        <v>0</v>
      </c>
      <c r="AH233" s="222">
        <f t="shared" si="92"/>
        <v>0</v>
      </c>
      <c r="AI233" s="222">
        <f t="shared" si="93"/>
        <v>0</v>
      </c>
      <c r="AJ233" s="602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528" t="s">
        <v>655</v>
      </c>
      <c r="AX233" s="205"/>
      <c r="AY233" s="205"/>
      <c r="AZ233" s="205"/>
      <c r="BA233" s="205"/>
      <c r="BB233" s="205"/>
      <c r="BC233" s="205"/>
      <c r="BD233" s="201"/>
      <c r="BE233" s="65"/>
      <c r="BF233" s="65"/>
      <c r="BG233" s="65">
        <f t="shared" ref="BG233:BG238" si="94">SUM(BG232+1)</f>
        <v>3</v>
      </c>
      <c r="BH233" s="65"/>
      <c r="BI233" s="65">
        <f t="shared" ref="BI233:BI271" si="95">SUM(BI232+1)</f>
        <v>12</v>
      </c>
      <c r="BJ233" s="65"/>
      <c r="BK233" s="201" t="s">
        <v>465</v>
      </c>
      <c r="BL233" s="65"/>
      <c r="BM233" s="65"/>
      <c r="BN233" s="223">
        <f>PRIJZEN!I43</f>
        <v>1.95</v>
      </c>
      <c r="BO233" s="65"/>
      <c r="BP233" s="65">
        <f t="shared" ref="BP233:BP280" si="96">SUM(BP232+2)</f>
        <v>6</v>
      </c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1"/>
      <c r="DF233" s="91"/>
      <c r="DG233" s="409"/>
      <c r="DH233" s="409"/>
      <c r="DI233" s="409"/>
      <c r="DJ233" s="409"/>
      <c r="DK233" s="409"/>
      <c r="DL233" s="409"/>
      <c r="DM233" s="409"/>
      <c r="DN233" s="409"/>
      <c r="DO233" s="409"/>
      <c r="DP233" s="409"/>
      <c r="DQ233" s="409"/>
      <c r="DR233" s="409"/>
      <c r="DS233" s="409"/>
      <c r="DT233" s="409"/>
      <c r="DU233" s="409"/>
      <c r="DV233" s="409"/>
      <c r="DW233" s="409"/>
      <c r="DX233" s="409"/>
      <c r="DY233" s="409"/>
      <c r="DZ233" s="409"/>
      <c r="EA233" s="409"/>
      <c r="EB233" s="409"/>
      <c r="EC233" s="409"/>
      <c r="ED233" s="409"/>
    </row>
    <row r="234" spans="1:134" ht="20.05" customHeight="1">
      <c r="A234" s="63"/>
      <c r="B234" s="1332" t="s">
        <v>898</v>
      </c>
      <c r="C234" s="1142"/>
      <c r="D234" s="1094" t="s">
        <v>656</v>
      </c>
      <c r="E234" s="1095"/>
      <c r="F234" s="1095"/>
      <c r="G234" s="1095"/>
      <c r="H234" s="1096"/>
      <c r="I234" s="1094" t="s">
        <v>259</v>
      </c>
      <c r="J234" s="1095"/>
      <c r="K234" s="1095"/>
      <c r="L234" s="1095"/>
      <c r="M234" s="1096"/>
      <c r="N234" s="1043" t="str">
        <f t="shared" si="75"/>
        <v/>
      </c>
      <c r="O234" s="1044"/>
      <c r="P234" s="359"/>
      <c r="Q234" s="222">
        <f t="shared" si="76"/>
        <v>0</v>
      </c>
      <c r="R234" s="222">
        <f t="shared" si="77"/>
        <v>0</v>
      </c>
      <c r="S234" s="222"/>
      <c r="T234" s="222">
        <f t="shared" si="78"/>
        <v>0</v>
      </c>
      <c r="U234" s="222">
        <f t="shared" si="79"/>
        <v>0</v>
      </c>
      <c r="V234" s="222">
        <f t="shared" si="80"/>
        <v>0</v>
      </c>
      <c r="W234" s="222">
        <f t="shared" si="81"/>
        <v>0</v>
      </c>
      <c r="X234" s="222">
        <f t="shared" si="82"/>
        <v>0</v>
      </c>
      <c r="Y234" s="222">
        <f t="shared" si="83"/>
        <v>0</v>
      </c>
      <c r="Z234" s="222">
        <f t="shared" si="84"/>
        <v>0</v>
      </c>
      <c r="AA234" s="222">
        <f t="shared" si="85"/>
        <v>0</v>
      </c>
      <c r="AB234" s="222">
        <f t="shared" si="86"/>
        <v>0</v>
      </c>
      <c r="AC234" s="222">
        <f t="shared" si="87"/>
        <v>0</v>
      </c>
      <c r="AD234" s="222">
        <f t="shared" si="88"/>
        <v>0</v>
      </c>
      <c r="AE234" s="222">
        <f t="shared" si="89"/>
        <v>0</v>
      </c>
      <c r="AF234" s="222">
        <f>IF($D234=$AW$251,$BD$251*$I234,0)</f>
        <v>0</v>
      </c>
      <c r="AG234" s="222">
        <f t="shared" si="91"/>
        <v>0</v>
      </c>
      <c r="AH234" s="222">
        <f t="shared" si="92"/>
        <v>0</v>
      </c>
      <c r="AI234" s="222">
        <f t="shared" si="93"/>
        <v>0</v>
      </c>
      <c r="AJ234" s="222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65" t="s">
        <v>277</v>
      </c>
      <c r="AX234" s="205"/>
      <c r="AY234" s="205"/>
      <c r="AZ234" s="205"/>
      <c r="BA234" s="205"/>
      <c r="BB234" s="205"/>
      <c r="BC234" s="205"/>
      <c r="BD234" s="224">
        <f>PRIJZEN!$I$12</f>
        <v>4.0999999999999996</v>
      </c>
      <c r="BE234" s="65"/>
      <c r="BF234" s="65"/>
      <c r="BG234" s="65">
        <f t="shared" si="94"/>
        <v>4</v>
      </c>
      <c r="BH234" s="65"/>
      <c r="BI234" s="65">
        <f t="shared" si="95"/>
        <v>13</v>
      </c>
      <c r="BJ234" s="65"/>
      <c r="BK234" s="225" t="s">
        <v>286</v>
      </c>
      <c r="BL234" s="225"/>
      <c r="BM234" s="225"/>
      <c r="BN234" s="223">
        <f>PRIJZEN!I44</f>
        <v>15.5</v>
      </c>
      <c r="BO234" s="65"/>
      <c r="BP234" s="65">
        <f t="shared" si="96"/>
        <v>8</v>
      </c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1"/>
      <c r="DF234" s="91"/>
      <c r="DG234" s="409"/>
      <c r="DH234" s="409"/>
      <c r="DI234" s="409"/>
      <c r="DJ234" s="409"/>
      <c r="DK234" s="409"/>
      <c r="DL234" s="409"/>
      <c r="DM234" s="409"/>
      <c r="DN234" s="409"/>
      <c r="DO234" s="409"/>
      <c r="DP234" s="409"/>
      <c r="DQ234" s="409"/>
      <c r="DR234" s="409"/>
      <c r="DS234" s="409"/>
      <c r="DT234" s="409"/>
      <c r="DU234" s="409"/>
      <c r="DV234" s="409"/>
      <c r="DW234" s="409"/>
      <c r="DX234" s="409"/>
      <c r="DY234" s="409"/>
      <c r="DZ234" s="409"/>
      <c r="EA234" s="409"/>
      <c r="EB234" s="409"/>
      <c r="EC234" s="409"/>
      <c r="ED234" s="409"/>
    </row>
    <row r="235" spans="1:134" ht="20.05" customHeight="1">
      <c r="A235" s="63"/>
      <c r="B235" s="1332" t="s">
        <v>899</v>
      </c>
      <c r="C235" s="1142"/>
      <c r="D235" s="1094" t="s">
        <v>656</v>
      </c>
      <c r="E235" s="1095"/>
      <c r="F235" s="1095"/>
      <c r="G235" s="1095"/>
      <c r="H235" s="1096"/>
      <c r="I235" s="1094" t="s">
        <v>259</v>
      </c>
      <c r="J235" s="1095"/>
      <c r="K235" s="1095"/>
      <c r="L235" s="1095"/>
      <c r="M235" s="1096"/>
      <c r="N235" s="1043" t="str">
        <f t="shared" si="75"/>
        <v/>
      </c>
      <c r="O235" s="1044"/>
      <c r="P235" s="359"/>
      <c r="Q235" s="222">
        <f t="shared" si="76"/>
        <v>0</v>
      </c>
      <c r="R235" s="222">
        <f t="shared" si="77"/>
        <v>0</v>
      </c>
      <c r="S235" s="222"/>
      <c r="T235" s="222">
        <f t="shared" si="78"/>
        <v>0</v>
      </c>
      <c r="U235" s="222">
        <f t="shared" si="79"/>
        <v>0</v>
      </c>
      <c r="V235" s="222">
        <f t="shared" si="80"/>
        <v>0</v>
      </c>
      <c r="W235" s="222">
        <f t="shared" si="81"/>
        <v>0</v>
      </c>
      <c r="X235" s="222">
        <f t="shared" si="82"/>
        <v>0</v>
      </c>
      <c r="Y235" s="222">
        <f t="shared" si="83"/>
        <v>0</v>
      </c>
      <c r="Z235" s="222">
        <f t="shared" si="84"/>
        <v>0</v>
      </c>
      <c r="AA235" s="222">
        <f t="shared" si="85"/>
        <v>0</v>
      </c>
      <c r="AB235" s="222">
        <f t="shared" si="86"/>
        <v>0</v>
      </c>
      <c r="AC235" s="222">
        <f t="shared" si="87"/>
        <v>0</v>
      </c>
      <c r="AD235" s="222">
        <f t="shared" si="88"/>
        <v>0</v>
      </c>
      <c r="AE235" s="222">
        <f t="shared" si="89"/>
        <v>0</v>
      </c>
      <c r="AF235" s="222">
        <f t="shared" si="90"/>
        <v>0</v>
      </c>
      <c r="AG235" s="222">
        <f t="shared" si="91"/>
        <v>0</v>
      </c>
      <c r="AH235" s="222">
        <f t="shared" si="92"/>
        <v>0</v>
      </c>
      <c r="AI235" s="222">
        <f t="shared" si="93"/>
        <v>0</v>
      </c>
      <c r="AJ235" s="222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65" t="s">
        <v>278</v>
      </c>
      <c r="AX235" s="205"/>
      <c r="AY235" s="205"/>
      <c r="AZ235" s="205"/>
      <c r="BA235" s="205"/>
      <c r="BB235" s="205"/>
      <c r="BC235" s="205"/>
      <c r="BD235" s="224">
        <f>PRIJZEN!$I$13</f>
        <v>4.0999999999999996</v>
      </c>
      <c r="BE235" s="65"/>
      <c r="BF235" s="65"/>
      <c r="BG235" s="65">
        <f t="shared" si="94"/>
        <v>5</v>
      </c>
      <c r="BH235" s="65"/>
      <c r="BI235" s="65">
        <f t="shared" si="95"/>
        <v>14</v>
      </c>
      <c r="BJ235" s="65"/>
      <c r="BK235" s="225" t="s">
        <v>471</v>
      </c>
      <c r="BL235" s="225"/>
      <c r="BM235" s="225"/>
      <c r="BN235" s="223">
        <f>PRIJZEN!I45</f>
        <v>37.799999999999997</v>
      </c>
      <c r="BO235" s="65"/>
      <c r="BP235" s="65">
        <f t="shared" si="96"/>
        <v>10</v>
      </c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1"/>
      <c r="DF235" s="91"/>
      <c r="DG235" s="409"/>
      <c r="DH235" s="409"/>
      <c r="DI235" s="409"/>
      <c r="DJ235" s="409"/>
      <c r="DK235" s="409"/>
      <c r="DL235" s="409"/>
      <c r="DM235" s="409"/>
      <c r="DN235" s="409"/>
      <c r="DO235" s="409"/>
      <c r="DP235" s="409"/>
      <c r="DQ235" s="409"/>
      <c r="DR235" s="409"/>
      <c r="DS235" s="409"/>
      <c r="DT235" s="409"/>
      <c r="DU235" s="409"/>
      <c r="DV235" s="409"/>
      <c r="DW235" s="409"/>
      <c r="DX235" s="409"/>
      <c r="DY235" s="409"/>
      <c r="DZ235" s="409"/>
      <c r="EA235" s="409"/>
      <c r="EB235" s="409"/>
      <c r="EC235" s="409"/>
      <c r="ED235" s="409"/>
    </row>
    <row r="236" spans="1:134" ht="20.05" customHeight="1">
      <c r="A236" s="63"/>
      <c r="B236" s="1332" t="s">
        <v>280</v>
      </c>
      <c r="C236" s="1142"/>
      <c r="D236" s="1094" t="s">
        <v>656</v>
      </c>
      <c r="E236" s="1095"/>
      <c r="F236" s="1095"/>
      <c r="G236" s="1095"/>
      <c r="H236" s="1096"/>
      <c r="I236" s="1094" t="s">
        <v>259</v>
      </c>
      <c r="J236" s="1095"/>
      <c r="K236" s="1095"/>
      <c r="L236" s="1095"/>
      <c r="M236" s="1096"/>
      <c r="N236" s="1062" t="str">
        <f t="shared" si="75"/>
        <v/>
      </c>
      <c r="O236" s="1063"/>
      <c r="P236" s="359"/>
      <c r="Q236" s="222">
        <f t="shared" si="76"/>
        <v>0</v>
      </c>
      <c r="R236" s="222">
        <f t="shared" si="77"/>
        <v>0</v>
      </c>
      <c r="S236" s="222"/>
      <c r="T236" s="222">
        <f t="shared" si="78"/>
        <v>0</v>
      </c>
      <c r="U236" s="222">
        <f t="shared" si="79"/>
        <v>0</v>
      </c>
      <c r="V236" s="222">
        <f t="shared" si="80"/>
        <v>0</v>
      </c>
      <c r="W236" s="222">
        <f t="shared" si="81"/>
        <v>0</v>
      </c>
      <c r="X236" s="222">
        <f t="shared" si="82"/>
        <v>0</v>
      </c>
      <c r="Y236" s="222">
        <f t="shared" si="83"/>
        <v>0</v>
      </c>
      <c r="Z236" s="222">
        <f t="shared" si="84"/>
        <v>0</v>
      </c>
      <c r="AA236" s="222">
        <f t="shared" si="85"/>
        <v>0</v>
      </c>
      <c r="AB236" s="222">
        <f t="shared" si="86"/>
        <v>0</v>
      </c>
      <c r="AC236" s="222">
        <f t="shared" si="87"/>
        <v>0</v>
      </c>
      <c r="AD236" s="222">
        <f t="shared" si="88"/>
        <v>0</v>
      </c>
      <c r="AE236" s="222">
        <f t="shared" si="89"/>
        <v>0</v>
      </c>
      <c r="AF236" s="222">
        <f t="shared" si="90"/>
        <v>0</v>
      </c>
      <c r="AG236" s="222">
        <f t="shared" si="91"/>
        <v>0</v>
      </c>
      <c r="AH236" s="222">
        <f t="shared" si="92"/>
        <v>0</v>
      </c>
      <c r="AI236" s="222">
        <f t="shared" si="93"/>
        <v>0</v>
      </c>
      <c r="AJ236" s="222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65"/>
      <c r="AX236" s="205"/>
      <c r="AY236" s="205"/>
      <c r="AZ236" s="205"/>
      <c r="BA236" s="205"/>
      <c r="BB236" s="205"/>
      <c r="BC236" s="205"/>
      <c r="BD236" s="224"/>
      <c r="BE236" s="65"/>
      <c r="BF236" s="65"/>
      <c r="BG236" s="65">
        <f t="shared" si="94"/>
        <v>6</v>
      </c>
      <c r="BH236" s="65"/>
      <c r="BI236" s="65">
        <f t="shared" si="95"/>
        <v>15</v>
      </c>
      <c r="BJ236" s="65"/>
      <c r="BK236" s="65" t="s">
        <v>285</v>
      </c>
      <c r="BL236" s="65"/>
      <c r="BM236" s="65"/>
      <c r="BN236" s="223">
        <f>PRIJZEN!I46</f>
        <v>34.799999999999997</v>
      </c>
      <c r="BO236" s="65"/>
      <c r="BP236" s="65">
        <f t="shared" si="96"/>
        <v>12</v>
      </c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1"/>
      <c r="DF236" s="91"/>
      <c r="DG236" s="409"/>
      <c r="DH236" s="409"/>
      <c r="DI236" s="409"/>
      <c r="DJ236" s="409"/>
      <c r="DK236" s="409"/>
      <c r="DL236" s="409"/>
      <c r="DM236" s="409"/>
      <c r="DN236" s="409"/>
      <c r="DO236" s="409"/>
      <c r="DP236" s="409"/>
      <c r="DQ236" s="409"/>
      <c r="DR236" s="409"/>
      <c r="DS236" s="409"/>
      <c r="DT236" s="409"/>
      <c r="DU236" s="409"/>
      <c r="DV236" s="409"/>
      <c r="DW236" s="409"/>
      <c r="DX236" s="409"/>
      <c r="DY236" s="409"/>
      <c r="DZ236" s="409"/>
      <c r="EA236" s="409"/>
      <c r="EB236" s="409"/>
      <c r="EC236" s="409"/>
      <c r="ED236" s="409"/>
    </row>
    <row r="237" spans="1:134" ht="20.05" customHeight="1">
      <c r="A237" s="63"/>
      <c r="B237" s="150"/>
      <c r="C237" s="164"/>
      <c r="D237" s="1094" t="s">
        <v>656</v>
      </c>
      <c r="E237" s="1095"/>
      <c r="F237" s="1095"/>
      <c r="G237" s="1095"/>
      <c r="H237" s="1096"/>
      <c r="I237" s="1094" t="s">
        <v>259</v>
      </c>
      <c r="J237" s="1095"/>
      <c r="K237" s="1095"/>
      <c r="L237" s="1095"/>
      <c r="M237" s="1096"/>
      <c r="N237" s="1062" t="str">
        <f t="shared" si="75"/>
        <v/>
      </c>
      <c r="O237" s="1063"/>
      <c r="P237" s="359"/>
      <c r="Q237" s="222">
        <f t="shared" si="76"/>
        <v>0</v>
      </c>
      <c r="R237" s="222">
        <f t="shared" si="77"/>
        <v>0</v>
      </c>
      <c r="S237" s="222"/>
      <c r="T237" s="222">
        <f t="shared" si="78"/>
        <v>0</v>
      </c>
      <c r="U237" s="222">
        <f t="shared" si="79"/>
        <v>0</v>
      </c>
      <c r="V237" s="222">
        <f t="shared" si="80"/>
        <v>0</v>
      </c>
      <c r="W237" s="222">
        <f t="shared" si="81"/>
        <v>0</v>
      </c>
      <c r="X237" s="222">
        <f t="shared" si="82"/>
        <v>0</v>
      </c>
      <c r="Y237" s="222">
        <f t="shared" si="83"/>
        <v>0</v>
      </c>
      <c r="Z237" s="222">
        <f t="shared" si="84"/>
        <v>0</v>
      </c>
      <c r="AA237" s="222">
        <f t="shared" si="85"/>
        <v>0</v>
      </c>
      <c r="AB237" s="222">
        <f t="shared" si="86"/>
        <v>0</v>
      </c>
      <c r="AC237" s="222">
        <f t="shared" si="87"/>
        <v>0</v>
      </c>
      <c r="AD237" s="222">
        <f t="shared" si="88"/>
        <v>0</v>
      </c>
      <c r="AE237" s="222">
        <f t="shared" si="89"/>
        <v>0</v>
      </c>
      <c r="AF237" s="222">
        <f t="shared" si="90"/>
        <v>0</v>
      </c>
      <c r="AG237" s="222">
        <f t="shared" si="91"/>
        <v>0</v>
      </c>
      <c r="AH237" s="222">
        <f t="shared" si="92"/>
        <v>0</v>
      </c>
      <c r="AI237" s="222">
        <f t="shared" si="93"/>
        <v>0</v>
      </c>
      <c r="AJ237" s="222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65"/>
      <c r="AX237" s="205"/>
      <c r="AY237" s="205"/>
      <c r="AZ237" s="205"/>
      <c r="BA237" s="205"/>
      <c r="BB237" s="205"/>
      <c r="BC237" s="205"/>
      <c r="BD237" s="224"/>
      <c r="BE237" s="65"/>
      <c r="BF237" s="65"/>
      <c r="BG237" s="65">
        <f t="shared" si="94"/>
        <v>7</v>
      </c>
      <c r="BH237" s="65"/>
      <c r="BI237" s="65">
        <f t="shared" si="95"/>
        <v>16</v>
      </c>
      <c r="BJ237" s="65"/>
      <c r="BK237" s="65" t="s">
        <v>515</v>
      </c>
      <c r="BL237" s="65"/>
      <c r="BM237" s="65"/>
      <c r="BN237" s="223">
        <f>PRIJZEN!I47</f>
        <v>31.5</v>
      </c>
      <c r="BO237" s="65"/>
      <c r="BP237" s="65">
        <f t="shared" si="96"/>
        <v>14</v>
      </c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1"/>
      <c r="DF237" s="91"/>
      <c r="DG237" s="409"/>
      <c r="DH237" s="409"/>
      <c r="DI237" s="409"/>
      <c r="DJ237" s="409"/>
      <c r="DK237" s="409"/>
      <c r="DL237" s="409"/>
      <c r="DM237" s="409"/>
      <c r="DN237" s="409"/>
      <c r="DO237" s="409"/>
      <c r="DP237" s="409"/>
      <c r="DQ237" s="409"/>
      <c r="DR237" s="409"/>
      <c r="DS237" s="409"/>
      <c r="DT237" s="409"/>
      <c r="DU237" s="409"/>
      <c r="DV237" s="409"/>
      <c r="DW237" s="409"/>
      <c r="DX237" s="409"/>
      <c r="DY237" s="409"/>
      <c r="DZ237" s="409"/>
      <c r="EA237" s="409"/>
      <c r="EB237" s="409"/>
      <c r="EC237" s="409"/>
      <c r="ED237" s="409"/>
    </row>
    <row r="238" spans="1:134" ht="20.05" customHeight="1">
      <c r="A238" s="63"/>
      <c r="B238" s="733"/>
      <c r="C238" s="160"/>
      <c r="D238" s="1097" t="s">
        <v>656</v>
      </c>
      <c r="E238" s="1098"/>
      <c r="F238" s="1098"/>
      <c r="G238" s="1098"/>
      <c r="H238" s="1099"/>
      <c r="I238" s="1328" t="s">
        <v>259</v>
      </c>
      <c r="J238" s="1323"/>
      <c r="K238" s="1323"/>
      <c r="L238" s="1323"/>
      <c r="M238" s="1324"/>
      <c r="N238" s="1062" t="str">
        <f t="shared" si="75"/>
        <v/>
      </c>
      <c r="O238" s="1063"/>
      <c r="P238" s="359"/>
      <c r="Q238" s="222">
        <f t="shared" si="76"/>
        <v>0</v>
      </c>
      <c r="R238" s="222">
        <f t="shared" si="77"/>
        <v>0</v>
      </c>
      <c r="S238" s="222"/>
      <c r="T238" s="222">
        <f t="shared" si="78"/>
        <v>0</v>
      </c>
      <c r="U238" s="222">
        <f t="shared" si="79"/>
        <v>0</v>
      </c>
      <c r="V238" s="222">
        <f t="shared" si="80"/>
        <v>0</v>
      </c>
      <c r="W238" s="222">
        <f t="shared" si="81"/>
        <v>0</v>
      </c>
      <c r="X238" s="222">
        <f t="shared" si="82"/>
        <v>0</v>
      </c>
      <c r="Y238" s="222">
        <f t="shared" si="83"/>
        <v>0</v>
      </c>
      <c r="Z238" s="222">
        <f t="shared" si="84"/>
        <v>0</v>
      </c>
      <c r="AA238" s="222">
        <f t="shared" si="85"/>
        <v>0</v>
      </c>
      <c r="AB238" s="222">
        <f t="shared" si="86"/>
        <v>0</v>
      </c>
      <c r="AC238" s="222">
        <f t="shared" si="87"/>
        <v>0</v>
      </c>
      <c r="AD238" s="222">
        <f t="shared" si="88"/>
        <v>0</v>
      </c>
      <c r="AE238" s="222">
        <f t="shared" si="89"/>
        <v>0</v>
      </c>
      <c r="AF238" s="222">
        <f t="shared" si="90"/>
        <v>0</v>
      </c>
      <c r="AG238" s="222">
        <f t="shared" si="91"/>
        <v>0</v>
      </c>
      <c r="AH238" s="222">
        <f t="shared" si="92"/>
        <v>0</v>
      </c>
      <c r="AI238" s="222">
        <f t="shared" si="93"/>
        <v>0</v>
      </c>
      <c r="AJ238" s="222"/>
      <c r="AK238" s="205"/>
      <c r="AL238" s="205"/>
      <c r="AM238" s="205"/>
      <c r="AN238" s="205"/>
      <c r="AO238" s="205"/>
      <c r="AP238" s="205"/>
      <c r="AQ238" s="205"/>
      <c r="AR238" s="205"/>
      <c r="AS238" s="205"/>
      <c r="AT238" s="205"/>
      <c r="AU238" s="205"/>
      <c r="AV238" s="205"/>
      <c r="AW238" s="528" t="s">
        <v>270</v>
      </c>
      <c r="AX238" s="205"/>
      <c r="AY238" s="205"/>
      <c r="AZ238" s="205"/>
      <c r="BA238" s="205"/>
      <c r="BB238" s="205"/>
      <c r="BC238" s="205"/>
      <c r="BD238" s="226"/>
      <c r="BE238" s="65"/>
      <c r="BF238" s="65"/>
      <c r="BG238" s="65">
        <f t="shared" si="94"/>
        <v>8</v>
      </c>
      <c r="BH238" s="65"/>
      <c r="BI238" s="65">
        <f t="shared" si="95"/>
        <v>17</v>
      </c>
      <c r="BJ238" s="65"/>
      <c r="BK238" s="65"/>
      <c r="BL238" s="65"/>
      <c r="BM238" s="65"/>
      <c r="BN238" s="65"/>
      <c r="BO238" s="65"/>
      <c r="BP238" s="65">
        <f t="shared" si="96"/>
        <v>16</v>
      </c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1"/>
      <c r="DF238" s="91"/>
      <c r="DG238" s="409"/>
      <c r="DH238" s="409"/>
      <c r="DI238" s="409"/>
      <c r="DJ238" s="409"/>
      <c r="DK238" s="409"/>
      <c r="DL238" s="409"/>
      <c r="DM238" s="409"/>
      <c r="DN238" s="409"/>
      <c r="DO238" s="409"/>
      <c r="DP238" s="409"/>
      <c r="DQ238" s="409"/>
      <c r="DR238" s="409"/>
      <c r="DS238" s="409"/>
      <c r="DT238" s="409"/>
      <c r="DU238" s="409"/>
      <c r="DV238" s="409"/>
      <c r="DW238" s="409"/>
      <c r="DX238" s="409"/>
      <c r="DY238" s="409"/>
      <c r="DZ238" s="409"/>
      <c r="EA238" s="409"/>
      <c r="EB238" s="409"/>
      <c r="EC238" s="409"/>
      <c r="ED238" s="409"/>
    </row>
    <row r="239" spans="1:134" ht="21.9" customHeight="1">
      <c r="A239" s="63"/>
      <c r="B239" s="299" t="s">
        <v>287</v>
      </c>
      <c r="C239" s="1104" t="s">
        <v>284</v>
      </c>
      <c r="D239" s="1105"/>
      <c r="E239" s="1105"/>
      <c r="F239" s="1105"/>
      <c r="G239" s="1105"/>
      <c r="H239" s="1105"/>
      <c r="I239" s="1105"/>
      <c r="J239" s="1105"/>
      <c r="K239" s="1105"/>
      <c r="L239" s="1105"/>
      <c r="M239" s="1105"/>
      <c r="N239" s="1105"/>
      <c r="O239" s="1106"/>
      <c r="P239" s="187"/>
      <c r="Q239" s="65"/>
      <c r="R239" s="205"/>
      <c r="S239" s="205"/>
      <c r="T239" s="205"/>
      <c r="U239" s="205"/>
      <c r="V239" s="205"/>
      <c r="W239" s="205"/>
      <c r="X239" s="205"/>
      <c r="Y239" s="205"/>
      <c r="Z239" s="205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  <c r="AS239" s="205"/>
      <c r="AT239" s="205"/>
      <c r="AU239" s="205"/>
      <c r="AV239" s="205"/>
      <c r="AW239" s="201" t="s">
        <v>260</v>
      </c>
      <c r="AX239" s="205"/>
      <c r="AY239" s="205"/>
      <c r="AZ239" s="205"/>
      <c r="BA239" s="205"/>
      <c r="BB239" s="205"/>
      <c r="BC239" s="205"/>
      <c r="BD239" s="224">
        <f>PRIJZEN!$I$22</f>
        <v>1.6</v>
      </c>
      <c r="BE239" s="65" t="s">
        <v>314</v>
      </c>
      <c r="BF239" s="65"/>
      <c r="BG239" s="65">
        <f t="shared" ref="BG239:BG245" si="97">SUM(BG238+1)</f>
        <v>9</v>
      </c>
      <c r="BH239" s="65"/>
      <c r="BI239" s="65">
        <f t="shared" si="95"/>
        <v>18</v>
      </c>
      <c r="BJ239" s="65"/>
      <c r="BK239" s="65" t="s">
        <v>292</v>
      </c>
      <c r="BL239" s="65"/>
      <c r="BM239" s="65"/>
      <c r="BN239" s="65"/>
      <c r="BO239" s="65"/>
      <c r="BP239" s="65">
        <f t="shared" si="96"/>
        <v>18</v>
      </c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65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1"/>
      <c r="DF239" s="91"/>
      <c r="DG239" s="409"/>
      <c r="DH239" s="409"/>
      <c r="DI239" s="409"/>
      <c r="DJ239" s="409"/>
      <c r="DK239" s="409"/>
      <c r="DL239" s="409"/>
      <c r="DM239" s="409"/>
      <c r="DN239" s="409"/>
      <c r="DO239" s="409"/>
      <c r="DP239" s="409"/>
      <c r="DQ239" s="409"/>
      <c r="DR239" s="409"/>
      <c r="DS239" s="409"/>
      <c r="DT239" s="409"/>
      <c r="DU239" s="409"/>
      <c r="DV239" s="409"/>
      <c r="DW239" s="409"/>
      <c r="DX239" s="409"/>
      <c r="DY239" s="409"/>
      <c r="DZ239" s="409"/>
      <c r="EA239" s="409"/>
      <c r="EB239" s="409"/>
      <c r="EC239" s="409"/>
      <c r="ED239" s="409"/>
    </row>
    <row r="240" spans="1:134" ht="20.05" customHeight="1">
      <c r="A240" s="63"/>
      <c r="B240" s="150"/>
      <c r="C240" s="164"/>
      <c r="D240" s="1320" t="s">
        <v>282</v>
      </c>
      <c r="E240" s="1320"/>
      <c r="F240" s="1320"/>
      <c r="G240" s="1320"/>
      <c r="H240" s="1321"/>
      <c r="I240" s="1097" t="s">
        <v>259</v>
      </c>
      <c r="J240" s="1098"/>
      <c r="K240" s="1098"/>
      <c r="L240" s="1098"/>
      <c r="M240" s="1098"/>
      <c r="N240" s="1080" t="str">
        <f>IF(OR($D240="klik &amp; kies zoetigheid",$I240="klik &amp; kies aantal"),"",SUM($O240:$W240))</f>
        <v/>
      </c>
      <c r="O240" s="1068"/>
      <c r="P240" s="359"/>
      <c r="Q240" s="222">
        <f>IF($D240=$BK$231,$BN$231*$I240,0)</f>
        <v>0</v>
      </c>
      <c r="R240" s="222">
        <f>IF($D240=$BK$232,$BN$232*$I240,0)</f>
        <v>0</v>
      </c>
      <c r="S240" s="222">
        <f>IF($D240=$BK$233,$BN$233*$I240,0)</f>
        <v>0</v>
      </c>
      <c r="T240" s="222">
        <f>IF($D240=$BK$234,$BN$234*$I240,0)</f>
        <v>0</v>
      </c>
      <c r="U240" s="222">
        <f>IF($D240=$BK$235,$BN$235*$I240,0)</f>
        <v>0</v>
      </c>
      <c r="V240" s="222">
        <f>IF($D240=$BK$236,$BN$236*$I240,0)</f>
        <v>0</v>
      </c>
      <c r="W240" s="222">
        <f t="shared" ref="W240:W242" si="98">IF($D240=$BK$237,$BN$237*$I240,0)</f>
        <v>0</v>
      </c>
      <c r="X240" s="205"/>
      <c r="Y240" s="205"/>
      <c r="Z240" s="797" t="s">
        <v>312</v>
      </c>
      <c r="AA240" s="797"/>
      <c r="AB240" s="1087" t="s">
        <v>313</v>
      </c>
      <c r="AC240" s="1087"/>
      <c r="AD240" s="797"/>
      <c r="AE240" s="205"/>
      <c r="AF240" s="205"/>
      <c r="AG240" s="205"/>
      <c r="AH240" s="205"/>
      <c r="AI240" s="205"/>
      <c r="AJ240" s="205"/>
      <c r="AK240" s="205"/>
      <c r="AL240" s="205"/>
      <c r="AM240" s="205"/>
      <c r="AN240" s="205"/>
      <c r="AO240" s="205"/>
      <c r="AP240" s="205"/>
      <c r="AQ240" s="205"/>
      <c r="AR240" s="205"/>
      <c r="AS240" s="205"/>
      <c r="AT240" s="205"/>
      <c r="AU240" s="205"/>
      <c r="AV240" s="205"/>
      <c r="AW240" s="201" t="s">
        <v>261</v>
      </c>
      <c r="AX240" s="205"/>
      <c r="AY240" s="205"/>
      <c r="AZ240" s="205"/>
      <c r="BA240" s="205"/>
      <c r="BB240" s="205"/>
      <c r="BC240" s="205"/>
      <c r="BD240" s="224">
        <f>PRIJZEN!$I$23</f>
        <v>1.6</v>
      </c>
      <c r="BE240" s="65" t="s">
        <v>314</v>
      </c>
      <c r="BF240" s="65"/>
      <c r="BG240" s="65">
        <f t="shared" si="97"/>
        <v>10</v>
      </c>
      <c r="BH240" s="65"/>
      <c r="BI240" s="65">
        <f t="shared" si="95"/>
        <v>19</v>
      </c>
      <c r="BJ240" s="65"/>
      <c r="BK240" s="65"/>
      <c r="BL240" s="65"/>
      <c r="BM240" s="65"/>
      <c r="BN240" s="65"/>
      <c r="BO240" s="65"/>
      <c r="BP240" s="65">
        <f t="shared" si="96"/>
        <v>20</v>
      </c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1"/>
      <c r="DF240" s="91"/>
      <c r="DG240" s="409"/>
      <c r="DH240" s="409"/>
      <c r="DI240" s="409"/>
      <c r="DJ240" s="409"/>
      <c r="DK240" s="409"/>
      <c r="DL240" s="409"/>
      <c r="DM240" s="409"/>
      <c r="DN240" s="409"/>
      <c r="DO240" s="409"/>
      <c r="DP240" s="409"/>
      <c r="DQ240" s="409"/>
      <c r="DR240" s="409"/>
      <c r="DS240" s="409"/>
      <c r="DT240" s="409"/>
      <c r="DU240" s="409"/>
      <c r="DV240" s="409"/>
      <c r="DW240" s="409"/>
      <c r="DX240" s="409"/>
      <c r="DY240" s="409"/>
      <c r="DZ240" s="409"/>
      <c r="EA240" s="409"/>
      <c r="EB240" s="409"/>
      <c r="EC240" s="409"/>
      <c r="ED240" s="409"/>
    </row>
    <row r="241" spans="1:134" ht="20.05" customHeight="1">
      <c r="A241" s="63"/>
      <c r="B241" s="994" t="s">
        <v>118</v>
      </c>
      <c r="C241" s="1142"/>
      <c r="D241" s="1098" t="s">
        <v>282</v>
      </c>
      <c r="E241" s="1098"/>
      <c r="F241" s="1098"/>
      <c r="G241" s="1098"/>
      <c r="H241" s="1099"/>
      <c r="I241" s="1094" t="s">
        <v>259</v>
      </c>
      <c r="J241" s="1095"/>
      <c r="K241" s="1095"/>
      <c r="L241" s="1095"/>
      <c r="M241" s="1096"/>
      <c r="N241" s="1043" t="str">
        <f>IF(OR($D241="klik &amp; kies zoetigheid",$I241="klik &amp; kies aantal"),"",SUM($O241:$W241))</f>
        <v/>
      </c>
      <c r="O241" s="1044"/>
      <c r="P241" s="359"/>
      <c r="Q241" s="222">
        <f>IF($D241=$BK$231,$BN$231*$I241,0)</f>
        <v>0</v>
      </c>
      <c r="R241" s="222">
        <f>IF($D241=$BK$232,$BN$232*$I241,0)</f>
        <v>0</v>
      </c>
      <c r="S241" s="222">
        <f>IF($D241=$BK$233,$BN$233*$I241,0)</f>
        <v>0</v>
      </c>
      <c r="T241" s="222">
        <f>IF($D241=$BK$234,$BN$234*$I241,0)</f>
        <v>0</v>
      </c>
      <c r="U241" s="222">
        <f>IF($D241=$BK$235,$BN$235*$I241,0)</f>
        <v>0</v>
      </c>
      <c r="V241" s="222">
        <f>IF($D241=$BK$236,$BN$236*$I241,0)</f>
        <v>0</v>
      </c>
      <c r="W241" s="222">
        <f t="shared" si="98"/>
        <v>0</v>
      </c>
      <c r="X241" s="205"/>
      <c r="Y241" s="205"/>
      <c r="Z241" s="227">
        <f>SUM(T229:T238)/BD239</f>
        <v>0</v>
      </c>
      <c r="AA241" s="205"/>
      <c r="AB241" s="1123">
        <f>SUM(Z241:Z253)</f>
        <v>0</v>
      </c>
      <c r="AC241" s="1123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1" t="s">
        <v>262</v>
      </c>
      <c r="AX241" s="205"/>
      <c r="AY241" s="205"/>
      <c r="AZ241" s="205"/>
      <c r="BA241" s="205"/>
      <c r="BB241" s="205"/>
      <c r="BC241" s="205"/>
      <c r="BD241" s="224">
        <f>PRIJZEN!$I$24</f>
        <v>2.0499999999999998</v>
      </c>
      <c r="BE241" s="65" t="s">
        <v>314</v>
      </c>
      <c r="BF241" s="65"/>
      <c r="BG241" s="65">
        <f t="shared" si="97"/>
        <v>11</v>
      </c>
      <c r="BH241" s="65"/>
      <c r="BI241" s="65">
        <f t="shared" si="95"/>
        <v>20</v>
      </c>
      <c r="BJ241" s="65"/>
      <c r="BK241" s="65" t="s">
        <v>290</v>
      </c>
      <c r="BL241" s="65"/>
      <c r="BM241" s="65"/>
      <c r="BN241" s="65"/>
      <c r="BO241" s="65"/>
      <c r="BP241" s="65">
        <f t="shared" si="96"/>
        <v>22</v>
      </c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1"/>
      <c r="DF241" s="91"/>
      <c r="DG241" s="409"/>
      <c r="DH241" s="409"/>
      <c r="DI241" s="409"/>
      <c r="DJ241" s="409"/>
      <c r="DK241" s="409"/>
      <c r="DL241" s="409"/>
      <c r="DM241" s="409"/>
      <c r="DN241" s="409"/>
      <c r="DO241" s="409"/>
      <c r="DP241" s="409"/>
      <c r="DQ241" s="409"/>
      <c r="DR241" s="409"/>
      <c r="DS241" s="409"/>
      <c r="DT241" s="409"/>
      <c r="DU241" s="409"/>
      <c r="DV241" s="409"/>
      <c r="DW241" s="409"/>
      <c r="DX241" s="409"/>
      <c r="DY241" s="409"/>
      <c r="DZ241" s="409"/>
      <c r="EA241" s="409"/>
      <c r="EB241" s="409"/>
      <c r="EC241" s="409"/>
      <c r="ED241" s="409"/>
    </row>
    <row r="242" spans="1:134" ht="20.05" customHeight="1">
      <c r="A242" s="63"/>
      <c r="B242" s="994" t="s">
        <v>284</v>
      </c>
      <c r="C242" s="1142"/>
      <c r="D242" s="1095" t="s">
        <v>282</v>
      </c>
      <c r="E242" s="1095"/>
      <c r="F242" s="1095"/>
      <c r="G242" s="1095"/>
      <c r="H242" s="1096"/>
      <c r="I242" s="1094" t="s">
        <v>259</v>
      </c>
      <c r="J242" s="1095"/>
      <c r="K242" s="1095"/>
      <c r="L242" s="1095"/>
      <c r="M242" s="1096"/>
      <c r="N242" s="1043" t="str">
        <f>IF(OR($D242="klik &amp; kies zoetigheid",$I242="klik &amp; kies aantal"),"",SUM($O242:$W242))</f>
        <v/>
      </c>
      <c r="O242" s="1044"/>
      <c r="P242" s="359"/>
      <c r="Q242" s="222">
        <f>IF($D242=$BK$231,$BN$231*$I242,0)</f>
        <v>0</v>
      </c>
      <c r="R242" s="222">
        <f>IF($D242=$BK$232,$BN$232*$I242,0)</f>
        <v>0</v>
      </c>
      <c r="S242" s="222">
        <f>IF($D242=$BK$233,$BN$233*$I242,0)</f>
        <v>0</v>
      </c>
      <c r="T242" s="222">
        <f>IF($D242=$BK$234,$BN$234*$I242,0)</f>
        <v>0</v>
      </c>
      <c r="U242" s="222">
        <f>IF($D242=$BK$235,$BN$235*$I242,0)</f>
        <v>0</v>
      </c>
      <c r="V242" s="222">
        <f>IF($D242=$BK$236,$BN$236*$I242,0)</f>
        <v>0</v>
      </c>
      <c r="W242" s="222">
        <f t="shared" si="98"/>
        <v>0</v>
      </c>
      <c r="X242" s="205"/>
      <c r="Y242" s="205"/>
      <c r="Z242" s="227">
        <f>SUM(U229:U238)/BD240</f>
        <v>0</v>
      </c>
      <c r="AA242" s="205"/>
      <c r="AB242" s="205"/>
      <c r="AC242" s="205"/>
      <c r="AD242" s="205"/>
      <c r="AE242" s="205"/>
      <c r="AF242" s="205"/>
      <c r="AG242" s="205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5"/>
      <c r="AR242" s="205"/>
      <c r="AS242" s="205"/>
      <c r="AT242" s="205"/>
      <c r="AU242" s="205"/>
      <c r="AV242" s="205"/>
      <c r="AW242" s="201" t="s">
        <v>263</v>
      </c>
      <c r="AX242" s="205"/>
      <c r="AY242" s="205"/>
      <c r="AZ242" s="205"/>
      <c r="BA242" s="205"/>
      <c r="BB242" s="205"/>
      <c r="BC242" s="205"/>
      <c r="BD242" s="224">
        <f>PRIJZEN!$I$25</f>
        <v>2.0499999999999998</v>
      </c>
      <c r="BE242" s="65" t="s">
        <v>314</v>
      </c>
      <c r="BF242" s="65"/>
      <c r="BG242" s="65">
        <f t="shared" si="97"/>
        <v>12</v>
      </c>
      <c r="BH242" s="65"/>
      <c r="BI242" s="65">
        <f t="shared" si="95"/>
        <v>21</v>
      </c>
      <c r="BJ242" s="65"/>
      <c r="BK242" s="65" t="s">
        <v>291</v>
      </c>
      <c r="BL242" s="65"/>
      <c r="BM242" s="65"/>
      <c r="BN242" s="323">
        <f>PRIJZEN!I49</f>
        <v>3.5</v>
      </c>
      <c r="BO242" s="65"/>
      <c r="BP242" s="65">
        <f t="shared" si="96"/>
        <v>24</v>
      </c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1"/>
      <c r="DF242" s="91"/>
      <c r="DG242" s="409"/>
      <c r="DH242" s="409"/>
      <c r="DI242" s="409"/>
      <c r="DJ242" s="409"/>
      <c r="DK242" s="409"/>
      <c r="DL242" s="409"/>
      <c r="DM242" s="409"/>
      <c r="DN242" s="409"/>
      <c r="DO242" s="409"/>
      <c r="DP242" s="409"/>
      <c r="DQ242" s="409"/>
      <c r="DR242" s="409"/>
      <c r="DS242" s="409"/>
      <c r="DT242" s="409"/>
      <c r="DU242" s="409"/>
      <c r="DV242" s="409"/>
      <c r="DW242" s="409"/>
      <c r="DX242" s="409"/>
      <c r="DY242" s="409"/>
      <c r="DZ242" s="409"/>
      <c r="EA242" s="409"/>
      <c r="EB242" s="409"/>
      <c r="EC242" s="409"/>
      <c r="ED242" s="409"/>
    </row>
    <row r="243" spans="1:134" ht="20.05" customHeight="1">
      <c r="A243" s="63"/>
      <c r="B243" s="733"/>
      <c r="C243" s="160"/>
      <c r="D243" s="1323" t="s">
        <v>282</v>
      </c>
      <c r="E243" s="1323"/>
      <c r="F243" s="1323"/>
      <c r="G243" s="1323"/>
      <c r="H243" s="1324"/>
      <c r="I243" s="1097" t="s">
        <v>259</v>
      </c>
      <c r="J243" s="1098"/>
      <c r="K243" s="1098"/>
      <c r="L243" s="1098"/>
      <c r="M243" s="1098"/>
      <c r="N243" s="1080" t="str">
        <f>IF(OR($D243="klik &amp; kies zoetigheid",$I243="klik &amp; kies aantal"),"",SUM($O243:$W243))</f>
        <v/>
      </c>
      <c r="O243" s="1068"/>
      <c r="P243" s="359"/>
      <c r="Q243" s="222">
        <f>IF($D243=$BK$231,$BN$231*$I243,0)</f>
        <v>0</v>
      </c>
      <c r="R243" s="222">
        <f>IF($D243=$BK$232,$BN$232*$I243,0)</f>
        <v>0</v>
      </c>
      <c r="S243" s="222">
        <f>IF($D243=$BK$233,$BN$233*$I243,0)</f>
        <v>0</v>
      </c>
      <c r="T243" s="222">
        <f>IF($D243=$BK$234,$BN$234*$I243,0)</f>
        <v>0</v>
      </c>
      <c r="U243" s="222">
        <f>IF($D243=$BK$235,$BN$235*$I243,0)</f>
        <v>0</v>
      </c>
      <c r="V243" s="222">
        <f>IF($D243=$BK$236,$BN$236*$I243,0)</f>
        <v>0</v>
      </c>
      <c r="W243" s="222">
        <f>IF($D243=$BK$237,$BN$237*$I243,0)</f>
        <v>0</v>
      </c>
      <c r="X243" s="205"/>
      <c r="Y243" s="205"/>
      <c r="Z243" s="227">
        <f>SUM(V229:V238)/BD241</f>
        <v>0</v>
      </c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1" t="s">
        <v>264</v>
      </c>
      <c r="AX243" s="205"/>
      <c r="AY243" s="205"/>
      <c r="AZ243" s="205"/>
      <c r="BA243" s="205"/>
      <c r="BB243" s="205"/>
      <c r="BC243" s="205"/>
      <c r="BD243" s="224">
        <f>PRIJZEN!$I$26</f>
        <v>2.2999999999999998</v>
      </c>
      <c r="BE243" s="65" t="s">
        <v>314</v>
      </c>
      <c r="BF243" s="65"/>
      <c r="BG243" s="65">
        <f t="shared" si="97"/>
        <v>13</v>
      </c>
      <c r="BH243" s="65"/>
      <c r="BI243" s="65">
        <f t="shared" si="95"/>
        <v>22</v>
      </c>
      <c r="BJ243" s="65"/>
      <c r="BK243" s="65"/>
      <c r="BL243" s="65"/>
      <c r="BM243" s="65"/>
      <c r="BN243" s="65"/>
      <c r="BO243" s="65"/>
      <c r="BP243" s="65">
        <f t="shared" si="96"/>
        <v>26</v>
      </c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  <c r="CA243" s="65"/>
      <c r="CB243" s="65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1"/>
      <c r="DF243" s="91"/>
      <c r="DG243" s="409"/>
      <c r="DH243" s="409"/>
      <c r="DI243" s="409"/>
      <c r="DJ243" s="409"/>
      <c r="DK243" s="409"/>
      <c r="DL243" s="409"/>
      <c r="DM243" s="409"/>
      <c r="DN243" s="409"/>
      <c r="DO243" s="409"/>
      <c r="DP243" s="409"/>
      <c r="DQ243" s="409"/>
      <c r="DR243" s="409"/>
      <c r="DS243" s="409"/>
      <c r="DT243" s="409"/>
      <c r="DU243" s="409"/>
      <c r="DV243" s="409"/>
      <c r="DW243" s="409"/>
      <c r="DX243" s="409"/>
      <c r="DY243" s="409"/>
      <c r="DZ243" s="409"/>
      <c r="EA243" s="409"/>
      <c r="EB243" s="409"/>
      <c r="EC243" s="409"/>
      <c r="ED243" s="409"/>
    </row>
    <row r="244" spans="1:134" ht="18" customHeight="1">
      <c r="A244" s="61"/>
      <c r="B244" s="734"/>
      <c r="C244" s="735"/>
      <c r="D244" s="735"/>
      <c r="E244" s="735"/>
      <c r="F244" s="735"/>
      <c r="G244" s="735"/>
      <c r="H244" s="736"/>
      <c r="I244" s="1107" t="s">
        <v>292</v>
      </c>
      <c r="J244" s="1107"/>
      <c r="K244" s="1107"/>
      <c r="L244" s="1107"/>
      <c r="M244" s="1108"/>
      <c r="N244" s="1137" t="str">
        <f>IF($I$244="op cateringschaal in -doos",$BN$242,"")</f>
        <v/>
      </c>
      <c r="O244" s="1138"/>
      <c r="P244" s="359"/>
      <c r="Q244" s="205"/>
      <c r="R244" s="205"/>
      <c r="S244" s="205"/>
      <c r="T244" s="205"/>
      <c r="U244" s="205"/>
      <c r="V244" s="205"/>
      <c r="W244" s="205"/>
      <c r="X244" s="205"/>
      <c r="Y244" s="205"/>
      <c r="Z244" s="227">
        <f>SUM(W229:W238)/BD242</f>
        <v>0</v>
      </c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91" t="s">
        <v>269</v>
      </c>
      <c r="AX244" s="205"/>
      <c r="AY244" s="205"/>
      <c r="AZ244" s="205"/>
      <c r="BA244" s="205"/>
      <c r="BB244" s="205"/>
      <c r="BC244" s="205"/>
      <c r="BD244" s="224">
        <f>PRIJZEN!$I$27</f>
        <v>2.2999999999999998</v>
      </c>
      <c r="BE244" s="65" t="s">
        <v>314</v>
      </c>
      <c r="BF244" s="65"/>
      <c r="BG244" s="65">
        <f t="shared" si="97"/>
        <v>14</v>
      </c>
      <c r="BH244" s="65"/>
      <c r="BI244" s="65">
        <f t="shared" si="95"/>
        <v>23</v>
      </c>
      <c r="BJ244" s="65"/>
      <c r="BK244" s="65"/>
      <c r="BL244" s="65"/>
      <c r="BM244" s="65"/>
      <c r="BN244" s="65"/>
      <c r="BO244" s="65"/>
      <c r="BP244" s="65">
        <f t="shared" si="96"/>
        <v>28</v>
      </c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65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1"/>
      <c r="DF244" s="91"/>
      <c r="DG244" s="409"/>
      <c r="DH244" s="409"/>
      <c r="DI244" s="409"/>
      <c r="DJ244" s="409"/>
      <c r="DK244" s="409"/>
      <c r="DL244" s="409"/>
      <c r="DM244" s="409"/>
      <c r="DN244" s="409"/>
      <c r="DO244" s="409"/>
      <c r="DP244" s="409"/>
      <c r="DQ244" s="409"/>
      <c r="DR244" s="409"/>
      <c r="DS244" s="409"/>
      <c r="DT244" s="409"/>
      <c r="DU244" s="409"/>
      <c r="DV244" s="409"/>
      <c r="DW244" s="409"/>
      <c r="DX244" s="409"/>
      <c r="DY244" s="409"/>
      <c r="DZ244" s="409"/>
      <c r="EA244" s="409"/>
      <c r="EB244" s="409"/>
      <c r="EC244" s="409"/>
      <c r="ED244" s="409"/>
    </row>
    <row r="245" spans="1:134" ht="22.3">
      <c r="A245" s="61"/>
      <c r="B245" s="299" t="s">
        <v>764</v>
      </c>
      <c r="C245" s="1104" t="s">
        <v>299</v>
      </c>
      <c r="D245" s="1105"/>
      <c r="E245" s="1105"/>
      <c r="F245" s="1105"/>
      <c r="G245" s="1105"/>
      <c r="H245" s="1105"/>
      <c r="I245" s="1105"/>
      <c r="J245" s="1105"/>
      <c r="K245" s="1105"/>
      <c r="L245" s="1105"/>
      <c r="M245" s="1105"/>
      <c r="N245" s="1105"/>
      <c r="O245" s="1106"/>
      <c r="P245" s="187"/>
      <c r="Q245" s="205"/>
      <c r="R245" s="205"/>
      <c r="S245" s="205"/>
      <c r="T245" s="205"/>
      <c r="U245" s="205"/>
      <c r="V245" s="205"/>
      <c r="W245" s="205"/>
      <c r="X245" s="205"/>
      <c r="Y245" s="205"/>
      <c r="Z245" s="227">
        <f>SUM(X229:X238)/BD243</f>
        <v>0</v>
      </c>
      <c r="AA245" s="205"/>
      <c r="AB245" s="205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1" t="s">
        <v>276</v>
      </c>
      <c r="AX245" s="205"/>
      <c r="AY245" s="205"/>
      <c r="AZ245" s="205"/>
      <c r="BA245" s="205"/>
      <c r="BB245" s="205"/>
      <c r="BC245" s="205"/>
      <c r="BD245" s="224">
        <f>PRIJZEN!$I$28</f>
        <v>2.0499999999999998</v>
      </c>
      <c r="BE245" s="65" t="s">
        <v>314</v>
      </c>
      <c r="BF245" s="65"/>
      <c r="BG245" s="65">
        <f t="shared" si="97"/>
        <v>15</v>
      </c>
      <c r="BH245" s="65"/>
      <c r="BI245" s="65">
        <f t="shared" si="95"/>
        <v>24</v>
      </c>
      <c r="BJ245" s="65"/>
      <c r="BK245" s="219" t="s">
        <v>293</v>
      </c>
      <c r="BL245" s="65"/>
      <c r="BM245" s="65"/>
      <c r="BN245" s="65"/>
      <c r="BO245" s="65"/>
      <c r="BP245" s="65">
        <f t="shared" si="96"/>
        <v>30</v>
      </c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1"/>
      <c r="DF245" s="91"/>
      <c r="DG245" s="409"/>
      <c r="DH245" s="409"/>
      <c r="DI245" s="409"/>
      <c r="DJ245" s="409"/>
      <c r="DK245" s="409"/>
      <c r="DL245" s="409"/>
      <c r="DM245" s="409"/>
      <c r="DN245" s="409"/>
      <c r="DO245" s="409"/>
      <c r="DP245" s="409"/>
      <c r="DQ245" s="409"/>
      <c r="DR245" s="409"/>
      <c r="DS245" s="409"/>
      <c r="DT245" s="409"/>
      <c r="DU245" s="409"/>
      <c r="DV245" s="409"/>
      <c r="DW245" s="409"/>
      <c r="DX245" s="409"/>
      <c r="DY245" s="409"/>
      <c r="DZ245" s="409"/>
      <c r="EA245" s="409"/>
      <c r="EB245" s="409"/>
      <c r="EC245" s="409"/>
      <c r="ED245" s="409"/>
    </row>
    <row r="246" spans="1:134" ht="20.05" customHeight="1">
      <c r="A246" s="63"/>
      <c r="B246" s="150"/>
      <c r="C246" s="150"/>
      <c r="D246" s="1139" t="s">
        <v>293</v>
      </c>
      <c r="E246" s="1140"/>
      <c r="F246" s="1140"/>
      <c r="G246" s="1140"/>
      <c r="H246" s="1140"/>
      <c r="I246" s="1139" t="s">
        <v>294</v>
      </c>
      <c r="J246" s="1140"/>
      <c r="K246" s="1140"/>
      <c r="L246" s="1140"/>
      <c r="M246" s="1141"/>
      <c r="N246" s="1100" t="str">
        <f>IF(OR($D246="klik &amp; kies soort wrap",$I246="klik &amp; kies aantal H A L V E wraps"),"",$I246*$Q246)</f>
        <v/>
      </c>
      <c r="O246" s="1101"/>
      <c r="P246" s="359"/>
      <c r="Q246" s="216">
        <f>IF($D246="zalm",PRIJZEN!$I$52,PRIJZEN!$I$51)</f>
        <v>2.8</v>
      </c>
      <c r="R246" s="205"/>
      <c r="S246" s="205"/>
      <c r="T246" s="205"/>
      <c r="U246" s="205"/>
      <c r="V246" s="205"/>
      <c r="W246" s="205"/>
      <c r="X246" s="205"/>
      <c r="Y246" s="205"/>
      <c r="Z246" s="227">
        <f>SUM(Y229:Y238)/BD244</f>
        <v>0</v>
      </c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1" t="s">
        <v>265</v>
      </c>
      <c r="AX246" s="205"/>
      <c r="AY246" s="205"/>
      <c r="AZ246" s="205"/>
      <c r="BA246" s="205"/>
      <c r="BB246" s="205"/>
      <c r="BC246" s="205"/>
      <c r="BD246" s="224">
        <f>PRIJZEN!$I$29</f>
        <v>2.0499999999999998</v>
      </c>
      <c r="BE246" s="65" t="s">
        <v>314</v>
      </c>
      <c r="BF246" s="65"/>
      <c r="BG246" s="65">
        <f t="shared" ref="BG246:BG259" si="99">SUM(BG245+1)</f>
        <v>16</v>
      </c>
      <c r="BH246" s="65"/>
      <c r="BI246" s="65">
        <f t="shared" si="95"/>
        <v>25</v>
      </c>
      <c r="BJ246" s="65"/>
      <c r="BK246" s="65"/>
      <c r="BL246" s="65"/>
      <c r="BM246" s="65"/>
      <c r="BN246" s="65"/>
      <c r="BO246" s="65"/>
      <c r="BP246" s="65">
        <f t="shared" si="96"/>
        <v>32</v>
      </c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65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409"/>
      <c r="DH246" s="409"/>
      <c r="DI246" s="409"/>
      <c r="DJ246" s="409"/>
      <c r="DK246" s="409"/>
      <c r="DL246" s="409"/>
      <c r="DM246" s="409"/>
      <c r="DN246" s="409"/>
      <c r="DO246" s="409"/>
      <c r="DP246" s="409"/>
      <c r="DQ246" s="409"/>
      <c r="DR246" s="409"/>
      <c r="DS246" s="409"/>
      <c r="DT246" s="409"/>
      <c r="DU246" s="409"/>
      <c r="DV246" s="409"/>
      <c r="DW246" s="409"/>
      <c r="DX246" s="409"/>
      <c r="DY246" s="409"/>
      <c r="DZ246" s="409"/>
      <c r="EA246" s="409"/>
      <c r="EB246" s="409"/>
      <c r="EC246" s="409"/>
      <c r="ED246" s="409"/>
    </row>
    <row r="247" spans="1:134" ht="20.05" customHeight="1">
      <c r="A247" s="63"/>
      <c r="B247" s="150"/>
      <c r="C247" s="150"/>
      <c r="D247" s="1109" t="s">
        <v>293</v>
      </c>
      <c r="E247" s="1110"/>
      <c r="F247" s="1110"/>
      <c r="G247" s="1110"/>
      <c r="H247" s="1111"/>
      <c r="I247" s="1109" t="s">
        <v>294</v>
      </c>
      <c r="J247" s="1110"/>
      <c r="K247" s="1110"/>
      <c r="L247" s="1110"/>
      <c r="M247" s="1111"/>
      <c r="N247" s="1043" t="str">
        <f t="shared" ref="N247:N252" si="100">IF(OR($D247="klik &amp; kies soort wrap",$I247="klik &amp; kies aantal H A L V E wraps"),"",$I247*$Q247)</f>
        <v/>
      </c>
      <c r="O247" s="1044"/>
      <c r="P247" s="359"/>
      <c r="Q247" s="216">
        <f>IF($D247="zalm",PRIJZEN!$I$52,PRIJZEN!$I$51)</f>
        <v>2.8</v>
      </c>
      <c r="R247" s="205"/>
      <c r="S247" s="205"/>
      <c r="T247" s="205"/>
      <c r="U247" s="205"/>
      <c r="V247" s="205"/>
      <c r="W247" s="205"/>
      <c r="X247" s="205"/>
      <c r="Y247" s="205"/>
      <c r="Z247" s="227">
        <f>SUM(Z229:Z238)/BD245</f>
        <v>0</v>
      </c>
      <c r="AA247" s="205"/>
      <c r="AB247" s="205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1" t="s">
        <v>266</v>
      </c>
      <c r="AX247" s="205"/>
      <c r="AY247" s="205"/>
      <c r="AZ247" s="205"/>
      <c r="BA247" s="205"/>
      <c r="BB247" s="205"/>
      <c r="BC247" s="205"/>
      <c r="BD247" s="224">
        <f>PRIJZEN!$I$30</f>
        <v>2.0499999999999998</v>
      </c>
      <c r="BE247" s="65" t="s">
        <v>314</v>
      </c>
      <c r="BF247" s="65"/>
      <c r="BG247" s="65">
        <f t="shared" si="99"/>
        <v>17</v>
      </c>
      <c r="BH247" s="65"/>
      <c r="BI247" s="65">
        <f t="shared" si="95"/>
        <v>26</v>
      </c>
      <c r="BJ247" s="65"/>
      <c r="BK247" s="65" t="s">
        <v>226</v>
      </c>
      <c r="BL247" s="65"/>
      <c r="BM247" s="228">
        <f>PRIJZEN!$I$51</f>
        <v>2.8</v>
      </c>
      <c r="BN247" s="65"/>
      <c r="BO247" s="65"/>
      <c r="BP247" s="65">
        <f t="shared" si="96"/>
        <v>34</v>
      </c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1"/>
      <c r="DF247" s="91"/>
      <c r="DG247" s="409"/>
      <c r="DH247" s="409"/>
      <c r="DI247" s="409"/>
      <c r="DJ247" s="409"/>
      <c r="DK247" s="409"/>
      <c r="DL247" s="409"/>
      <c r="DM247" s="409"/>
      <c r="DN247" s="409"/>
      <c r="DO247" s="409"/>
      <c r="DP247" s="409"/>
      <c r="DQ247" s="409"/>
      <c r="DR247" s="409"/>
      <c r="DS247" s="409"/>
      <c r="DT247" s="409"/>
      <c r="DU247" s="409"/>
      <c r="DV247" s="409"/>
      <c r="DW247" s="409"/>
      <c r="DX247" s="409"/>
      <c r="DY247" s="409"/>
      <c r="DZ247" s="409"/>
      <c r="EA247" s="409"/>
      <c r="EB247" s="409"/>
      <c r="EC247" s="409"/>
      <c r="ED247" s="409"/>
    </row>
    <row r="248" spans="1:134" ht="20.05" customHeight="1">
      <c r="A248" s="63"/>
      <c r="B248" s="994" t="s">
        <v>118</v>
      </c>
      <c r="C248" s="1142"/>
      <c r="D248" s="1109" t="s">
        <v>293</v>
      </c>
      <c r="E248" s="1110"/>
      <c r="F248" s="1110"/>
      <c r="G248" s="1110"/>
      <c r="H248" s="1111"/>
      <c r="I248" s="1094" t="s">
        <v>294</v>
      </c>
      <c r="J248" s="1095"/>
      <c r="K248" s="1095"/>
      <c r="L248" s="1095"/>
      <c r="M248" s="1096"/>
      <c r="N248" s="1043" t="str">
        <f t="shared" si="100"/>
        <v/>
      </c>
      <c r="O248" s="1044"/>
      <c r="P248" s="359"/>
      <c r="Q248" s="216">
        <f>IF($D248="zalm",PRIJZEN!$I$52,PRIJZEN!$I$51)</f>
        <v>2.8</v>
      </c>
      <c r="R248" s="205"/>
      <c r="S248" s="205"/>
      <c r="T248" s="205"/>
      <c r="U248" s="205"/>
      <c r="V248" s="205"/>
      <c r="W248" s="205"/>
      <c r="X248" s="205"/>
      <c r="Y248" s="205"/>
      <c r="Z248" s="227">
        <f>SUM(AA229:AA238)/BD246</f>
        <v>0</v>
      </c>
      <c r="AA248" s="205"/>
      <c r="AB248" s="205"/>
      <c r="AC248" s="205"/>
      <c r="AD248" s="205"/>
      <c r="AE248" s="205"/>
      <c r="AF248" s="205"/>
      <c r="AG248" s="205"/>
      <c r="AH248" s="205"/>
      <c r="AI248" s="205"/>
      <c r="AJ248" s="219" t="s">
        <v>304</v>
      </c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1" t="s">
        <v>267</v>
      </c>
      <c r="AX248" s="205"/>
      <c r="AY248" s="205"/>
      <c r="AZ248" s="205"/>
      <c r="BA248" s="205"/>
      <c r="BB248" s="205"/>
      <c r="BC248" s="205"/>
      <c r="BD248" s="224">
        <f>PRIJZEN!$I$31</f>
        <v>2.6</v>
      </c>
      <c r="BE248" s="65" t="s">
        <v>314</v>
      </c>
      <c r="BF248" s="65"/>
      <c r="BG248" s="65">
        <f t="shared" si="99"/>
        <v>18</v>
      </c>
      <c r="BH248" s="65"/>
      <c r="BI248" s="65">
        <f t="shared" si="95"/>
        <v>27</v>
      </c>
      <c r="BJ248" s="65"/>
      <c r="BK248" s="65" t="s">
        <v>295</v>
      </c>
      <c r="BL248" s="65"/>
      <c r="BM248" s="228">
        <f>PRIJZEN!$I$51</f>
        <v>2.8</v>
      </c>
      <c r="BN248" s="65"/>
      <c r="BO248" s="65"/>
      <c r="BP248" s="65">
        <f t="shared" si="96"/>
        <v>36</v>
      </c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1"/>
      <c r="DF248" s="91"/>
      <c r="DG248" s="409"/>
      <c r="DH248" s="409"/>
      <c r="DI248" s="409"/>
      <c r="DJ248" s="409"/>
      <c r="DK248" s="409"/>
      <c r="DL248" s="409"/>
      <c r="DM248" s="409"/>
      <c r="DN248" s="409"/>
      <c r="DO248" s="409"/>
      <c r="DP248" s="409"/>
      <c r="DQ248" s="409"/>
      <c r="DR248" s="409"/>
      <c r="DS248" s="409"/>
      <c r="DT248" s="409"/>
      <c r="DU248" s="409"/>
      <c r="DV248" s="409"/>
      <c r="DW248" s="409"/>
      <c r="DX248" s="409"/>
      <c r="DY248" s="409"/>
      <c r="DZ248" s="409"/>
      <c r="EA248" s="409"/>
      <c r="EB248" s="409"/>
      <c r="EC248" s="409"/>
      <c r="ED248" s="409"/>
    </row>
    <row r="249" spans="1:134" ht="20.05" customHeight="1">
      <c r="A249" s="63"/>
      <c r="B249" s="994" t="s">
        <v>300</v>
      </c>
      <c r="C249" s="1142"/>
      <c r="D249" s="1109" t="s">
        <v>293</v>
      </c>
      <c r="E249" s="1110"/>
      <c r="F249" s="1110"/>
      <c r="G249" s="1110"/>
      <c r="H249" s="1111"/>
      <c r="I249" s="1094" t="s">
        <v>294</v>
      </c>
      <c r="J249" s="1095"/>
      <c r="K249" s="1095"/>
      <c r="L249" s="1095"/>
      <c r="M249" s="1096"/>
      <c r="N249" s="1043" t="str">
        <f t="shared" si="100"/>
        <v/>
      </c>
      <c r="O249" s="1044"/>
      <c r="P249" s="359"/>
      <c r="Q249" s="216">
        <f>IF($D249="zalm",PRIJZEN!$I$52,PRIJZEN!$I$51)</f>
        <v>2.8</v>
      </c>
      <c r="R249" s="205"/>
      <c r="S249" s="205"/>
      <c r="T249" s="205"/>
      <c r="U249" s="205"/>
      <c r="V249" s="205"/>
      <c r="W249" s="205"/>
      <c r="X249" s="205"/>
      <c r="Y249" s="205"/>
      <c r="Z249" s="227">
        <f>SUM(AB229:AB238)/BD247</f>
        <v>0</v>
      </c>
      <c r="AA249" s="205"/>
      <c r="AB249" s="205"/>
      <c r="AC249" s="205"/>
      <c r="AD249" s="205"/>
      <c r="AE249" s="205"/>
      <c r="AF249" s="205"/>
      <c r="AG249" s="205"/>
      <c r="AH249" s="205"/>
      <c r="AI249" s="205"/>
      <c r="AJ249" s="6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1" t="s">
        <v>268</v>
      </c>
      <c r="AX249" s="205"/>
      <c r="AY249" s="205"/>
      <c r="AZ249" s="205"/>
      <c r="BA249" s="205"/>
      <c r="BB249" s="205"/>
      <c r="BC249" s="205"/>
      <c r="BD249" s="224">
        <f>PRIJZEN!$I$32</f>
        <v>2.0499999999999998</v>
      </c>
      <c r="BE249" s="65" t="s">
        <v>314</v>
      </c>
      <c r="BF249" s="65"/>
      <c r="BG249" s="65">
        <f t="shared" si="99"/>
        <v>19</v>
      </c>
      <c r="BH249" s="65"/>
      <c r="BI249" s="65">
        <f t="shared" si="95"/>
        <v>28</v>
      </c>
      <c r="BJ249" s="65"/>
      <c r="BK249" s="65" t="s">
        <v>296</v>
      </c>
      <c r="BL249" s="65"/>
      <c r="BM249" s="228">
        <f>PRIJZEN!$I$51</f>
        <v>2.8</v>
      </c>
      <c r="BN249" s="65"/>
      <c r="BO249" s="65"/>
      <c r="BP249" s="65">
        <f t="shared" si="96"/>
        <v>38</v>
      </c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1"/>
      <c r="DF249" s="91"/>
      <c r="DG249" s="409"/>
      <c r="DH249" s="409"/>
      <c r="DI249" s="409"/>
      <c r="DJ249" s="409"/>
      <c r="DK249" s="409"/>
      <c r="DL249" s="409"/>
      <c r="DM249" s="409"/>
      <c r="DN249" s="409"/>
      <c r="DO249" s="409"/>
      <c r="DP249" s="409"/>
      <c r="DQ249" s="409"/>
      <c r="DR249" s="409"/>
      <c r="DS249" s="409"/>
      <c r="DT249" s="409"/>
      <c r="DU249" s="409"/>
      <c r="DV249" s="409"/>
      <c r="DW249" s="409"/>
      <c r="DX249" s="409"/>
      <c r="DY249" s="409"/>
      <c r="DZ249" s="409"/>
      <c r="EA249" s="409"/>
      <c r="EB249" s="409"/>
      <c r="EC249" s="409"/>
      <c r="ED249" s="409"/>
    </row>
    <row r="250" spans="1:134" ht="20.05" customHeight="1">
      <c r="A250" s="63"/>
      <c r="B250" s="1143" t="s">
        <v>301</v>
      </c>
      <c r="C250" s="1144"/>
      <c r="D250" s="1094" t="s">
        <v>293</v>
      </c>
      <c r="E250" s="1095"/>
      <c r="F250" s="1095"/>
      <c r="G250" s="1095"/>
      <c r="H250" s="1096"/>
      <c r="I250" s="1094" t="s">
        <v>294</v>
      </c>
      <c r="J250" s="1095"/>
      <c r="K250" s="1095"/>
      <c r="L250" s="1095"/>
      <c r="M250" s="1096"/>
      <c r="N250" s="1043" t="str">
        <f t="shared" si="100"/>
        <v/>
      </c>
      <c r="O250" s="1044"/>
      <c r="P250" s="359"/>
      <c r="Q250" s="216">
        <f>IF($D250="zalm",PRIJZEN!$I$52,PRIJZEN!$I$51)</f>
        <v>2.8</v>
      </c>
      <c r="R250" s="205"/>
      <c r="S250" s="205"/>
      <c r="T250" s="205"/>
      <c r="U250" s="205"/>
      <c r="V250" s="205"/>
      <c r="W250" s="205"/>
      <c r="X250" s="205"/>
      <c r="Y250" s="205"/>
      <c r="Z250" s="227">
        <f>SUM(AC229:AC238)/BD248</f>
        <v>0</v>
      </c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65" t="s">
        <v>509</v>
      </c>
      <c r="AK250" s="205"/>
      <c r="AL250" s="205"/>
      <c r="AM250" s="228">
        <f>PRIJZEN!I54</f>
        <v>9.9499999999999993</v>
      </c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65" t="s">
        <v>274</v>
      </c>
      <c r="AX250" s="205"/>
      <c r="AY250" s="205"/>
      <c r="AZ250" s="205"/>
      <c r="BA250" s="205"/>
      <c r="BB250" s="205"/>
      <c r="BC250" s="205"/>
      <c r="BD250" s="224">
        <f>PRIJZEN!$I$33</f>
        <v>2.6</v>
      </c>
      <c r="BE250" s="65" t="s">
        <v>314</v>
      </c>
      <c r="BF250" s="65"/>
      <c r="BG250" s="65">
        <f t="shared" si="99"/>
        <v>20</v>
      </c>
      <c r="BH250" s="65"/>
      <c r="BI250" s="65">
        <f t="shared" si="95"/>
        <v>29</v>
      </c>
      <c r="BJ250" s="65"/>
      <c r="BK250" s="65" t="s">
        <v>297</v>
      </c>
      <c r="BL250" s="65"/>
      <c r="BM250" s="228">
        <f>PRIJZEN!$I$51</f>
        <v>2.8</v>
      </c>
      <c r="BN250" s="65"/>
      <c r="BO250" s="65"/>
      <c r="BP250" s="65">
        <f t="shared" si="96"/>
        <v>40</v>
      </c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1"/>
      <c r="DF250" s="91"/>
      <c r="DG250" s="409"/>
      <c r="DH250" s="409"/>
      <c r="DI250" s="409"/>
      <c r="DJ250" s="409"/>
      <c r="DK250" s="409"/>
      <c r="DL250" s="409"/>
      <c r="DM250" s="409"/>
      <c r="DN250" s="409"/>
      <c r="DO250" s="409"/>
      <c r="DP250" s="409"/>
      <c r="DQ250" s="409"/>
      <c r="DR250" s="409"/>
      <c r="DS250" s="409"/>
      <c r="DT250" s="409"/>
      <c r="DU250" s="409"/>
      <c r="DV250" s="409"/>
      <c r="DW250" s="409"/>
      <c r="DX250" s="409"/>
      <c r="DY250" s="409"/>
      <c r="DZ250" s="409"/>
      <c r="EA250" s="409"/>
      <c r="EB250" s="409"/>
      <c r="EC250" s="409"/>
      <c r="ED250" s="409"/>
    </row>
    <row r="251" spans="1:134" ht="20.05" customHeight="1">
      <c r="A251" s="63"/>
      <c r="B251" s="1143" t="s">
        <v>302</v>
      </c>
      <c r="C251" s="1144"/>
      <c r="D251" s="1094" t="s">
        <v>293</v>
      </c>
      <c r="E251" s="1095"/>
      <c r="F251" s="1095"/>
      <c r="G251" s="1095"/>
      <c r="H251" s="1096"/>
      <c r="I251" s="1094" t="s">
        <v>294</v>
      </c>
      <c r="J251" s="1095"/>
      <c r="K251" s="1095"/>
      <c r="L251" s="1095"/>
      <c r="M251" s="1096"/>
      <c r="N251" s="1043" t="str">
        <f t="shared" si="100"/>
        <v/>
      </c>
      <c r="O251" s="1044"/>
      <c r="P251" s="359"/>
      <c r="Q251" s="216">
        <f>IF($D251="zalm",PRIJZEN!$I$52,PRIJZEN!$I$51)</f>
        <v>2.8</v>
      </c>
      <c r="R251" s="205"/>
      <c r="S251" s="205"/>
      <c r="T251" s="205"/>
      <c r="U251" s="205"/>
      <c r="V251" s="205"/>
      <c r="W251" s="205"/>
      <c r="X251" s="205"/>
      <c r="Y251" s="205"/>
      <c r="Z251" s="227">
        <f>SUM(AD229:AD238)/BD249</f>
        <v>0</v>
      </c>
      <c r="AA251" s="205"/>
      <c r="AB251" s="205"/>
      <c r="AC251" s="205"/>
      <c r="AD251" s="205"/>
      <c r="AE251" s="205"/>
      <c r="AF251" s="205"/>
      <c r="AG251" s="205"/>
      <c r="AH251" s="205"/>
      <c r="AI251" s="205"/>
      <c r="AJ251" s="65" t="s">
        <v>510</v>
      </c>
      <c r="AK251" s="205"/>
      <c r="AL251" s="205"/>
      <c r="AM251" s="228">
        <f>PRIJZEN!I55</f>
        <v>9.9499999999999993</v>
      </c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65" t="s">
        <v>275</v>
      </c>
      <c r="AX251" s="205"/>
      <c r="AY251" s="205"/>
      <c r="AZ251" s="205"/>
      <c r="BA251" s="205"/>
      <c r="BB251" s="205"/>
      <c r="BC251" s="205"/>
      <c r="BD251" s="224">
        <f>PRIJZEN!$I$34</f>
        <v>2.6</v>
      </c>
      <c r="BE251" s="65" t="s">
        <v>314</v>
      </c>
      <c r="BF251" s="65"/>
      <c r="BG251" s="65">
        <f t="shared" si="99"/>
        <v>21</v>
      </c>
      <c r="BH251" s="65"/>
      <c r="BI251" s="65">
        <f t="shared" si="95"/>
        <v>30</v>
      </c>
      <c r="BJ251" s="65"/>
      <c r="BK251" s="65" t="s">
        <v>235</v>
      </c>
      <c r="BL251" s="65"/>
      <c r="BM251" s="228">
        <f>PRIJZEN!$I$51</f>
        <v>2.8</v>
      </c>
      <c r="BN251" s="65"/>
      <c r="BO251" s="65"/>
      <c r="BP251" s="65">
        <f t="shared" si="96"/>
        <v>42</v>
      </c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1"/>
      <c r="DB251" s="91"/>
      <c r="DC251" s="91"/>
      <c r="DD251" s="91"/>
      <c r="DE251" s="91"/>
      <c r="DF251" s="91"/>
      <c r="DG251" s="409"/>
      <c r="DH251" s="409"/>
      <c r="DI251" s="409"/>
      <c r="DJ251" s="409"/>
      <c r="DK251" s="409"/>
      <c r="DL251" s="409"/>
      <c r="DM251" s="409"/>
      <c r="DN251" s="409"/>
      <c r="DO251" s="409"/>
      <c r="DP251" s="409"/>
      <c r="DQ251" s="409"/>
      <c r="DR251" s="409"/>
      <c r="DS251" s="409"/>
      <c r="DT251" s="409"/>
      <c r="DU251" s="409"/>
      <c r="DV251" s="409"/>
      <c r="DW251" s="409"/>
      <c r="DX251" s="409"/>
      <c r="DY251" s="409"/>
      <c r="DZ251" s="409"/>
      <c r="EA251" s="409"/>
      <c r="EB251" s="409"/>
      <c r="EC251" s="409"/>
      <c r="ED251" s="409"/>
    </row>
    <row r="252" spans="1:134" ht="20.05" customHeight="1">
      <c r="A252" s="63"/>
      <c r="B252" s="150"/>
      <c r="C252" s="150"/>
      <c r="D252" s="1097" t="s">
        <v>293</v>
      </c>
      <c r="E252" s="1098"/>
      <c r="F252" s="1098"/>
      <c r="G252" s="1098"/>
      <c r="H252" s="1098"/>
      <c r="I252" s="1097" t="s">
        <v>294</v>
      </c>
      <c r="J252" s="1098"/>
      <c r="K252" s="1098"/>
      <c r="L252" s="1098"/>
      <c r="M252" s="1099"/>
      <c r="N252" s="1043" t="str">
        <f t="shared" si="100"/>
        <v/>
      </c>
      <c r="O252" s="1044"/>
      <c r="P252" s="359"/>
      <c r="Q252" s="216">
        <f>IF($D252="zalm",PRIJZEN!$I$52,PRIJZEN!$I$51)</f>
        <v>2.8</v>
      </c>
      <c r="R252" s="205"/>
      <c r="S252" s="205"/>
      <c r="T252" s="205"/>
      <c r="U252" s="205"/>
      <c r="V252" s="205"/>
      <c r="W252" s="205"/>
      <c r="X252" s="205"/>
      <c r="Y252" s="205"/>
      <c r="Z252" s="227">
        <f>SUM(AE229:AE238)/BD250</f>
        <v>0</v>
      </c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65" t="s">
        <v>306</v>
      </c>
      <c r="AK252" s="205"/>
      <c r="AL252" s="205"/>
      <c r="AM252" s="228">
        <f>PRIJZEN!I56</f>
        <v>10.95</v>
      </c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65" t="s">
        <v>271</v>
      </c>
      <c r="AX252" s="205"/>
      <c r="AY252" s="205"/>
      <c r="AZ252" s="205"/>
      <c r="BA252" s="205"/>
      <c r="BB252" s="205"/>
      <c r="BC252" s="205"/>
      <c r="BD252" s="224">
        <f>PRIJZEN!$I$35</f>
        <v>8.9499999999999993</v>
      </c>
      <c r="BE252" s="65"/>
      <c r="BF252" s="65"/>
      <c r="BG252" s="65">
        <f t="shared" si="99"/>
        <v>22</v>
      </c>
      <c r="BH252" s="65"/>
      <c r="BI252" s="65">
        <f t="shared" si="95"/>
        <v>31</v>
      </c>
      <c r="BJ252" s="65"/>
      <c r="BK252" s="65" t="s">
        <v>237</v>
      </c>
      <c r="BL252" s="65"/>
      <c r="BM252" s="228">
        <f>PRIJZEN!$I$51</f>
        <v>2.8</v>
      </c>
      <c r="BN252" s="65"/>
      <c r="BO252" s="65"/>
      <c r="BP252" s="65">
        <f t="shared" si="96"/>
        <v>44</v>
      </c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1"/>
      <c r="DF252" s="91"/>
      <c r="DG252" s="409"/>
      <c r="DH252" s="409"/>
      <c r="DI252" s="409"/>
      <c r="DJ252" s="409"/>
      <c r="DK252" s="409"/>
      <c r="DL252" s="409"/>
      <c r="DM252" s="409"/>
      <c r="DN252" s="409"/>
      <c r="DO252" s="409"/>
      <c r="DP252" s="409"/>
      <c r="DQ252" s="409"/>
      <c r="DR252" s="409"/>
      <c r="DS252" s="409"/>
      <c r="DT252" s="409"/>
      <c r="DU252" s="409"/>
      <c r="DV252" s="409"/>
      <c r="DW252" s="409"/>
      <c r="DX252" s="409"/>
      <c r="DY252" s="409"/>
      <c r="DZ252" s="409"/>
      <c r="EA252" s="409"/>
      <c r="EB252" s="409"/>
      <c r="EC252" s="409"/>
      <c r="ED252" s="409"/>
    </row>
    <row r="253" spans="1:134" ht="18.600000000000001">
      <c r="A253" s="63"/>
      <c r="B253" s="733"/>
      <c r="C253" s="733"/>
      <c r="D253" s="1102" t="str">
        <f>IF(SUM(I246:M252)&lt;12,"Minimale afname van TOTAAL 12 halve is vereist om op schaal te kunnen presenteren !","Minimum aantal wraps voor op schaal OK")</f>
        <v>Minimale afname van TOTAAL 12 halve is vereist om op schaal te kunnen presenteren !</v>
      </c>
      <c r="E253" s="1102"/>
      <c r="F253" s="1102"/>
      <c r="G253" s="1102"/>
      <c r="H253" s="1102"/>
      <c r="I253" s="1102"/>
      <c r="J253" s="1102"/>
      <c r="K253" s="1102"/>
      <c r="L253" s="1102"/>
      <c r="M253" s="1102"/>
      <c r="N253" s="1102"/>
      <c r="O253" s="1103"/>
      <c r="P253" s="188"/>
      <c r="Q253" s="205"/>
      <c r="R253" s="205"/>
      <c r="S253" s="205"/>
      <c r="T253" s="205"/>
      <c r="U253" s="205"/>
      <c r="V253" s="205"/>
      <c r="W253" s="205"/>
      <c r="X253" s="205"/>
      <c r="Y253" s="205"/>
      <c r="Z253" s="227">
        <f>SUM(AF229:AF238)/BD251</f>
        <v>0</v>
      </c>
      <c r="AA253" s="205"/>
      <c r="AB253" s="205"/>
      <c r="AC253" s="205"/>
      <c r="AD253" s="205"/>
      <c r="AE253" s="205"/>
      <c r="AF253" s="205"/>
      <c r="AG253" s="205"/>
      <c r="AH253" s="205"/>
      <c r="AI253" s="205"/>
      <c r="AJ253" s="65" t="s">
        <v>307</v>
      </c>
      <c r="AK253" s="205"/>
      <c r="AL253" s="205"/>
      <c r="AM253" s="228">
        <f>PRIJZEN!I57</f>
        <v>11.95</v>
      </c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65" t="s">
        <v>273</v>
      </c>
      <c r="AX253" s="205"/>
      <c r="AY253" s="205"/>
      <c r="AZ253" s="205"/>
      <c r="BA253" s="205"/>
      <c r="BB253" s="205"/>
      <c r="BC253" s="205"/>
      <c r="BD253" s="224">
        <f>PRIJZEN!$I$36</f>
        <v>8.9499999999999993</v>
      </c>
      <c r="BE253" s="65"/>
      <c r="BF253" s="65"/>
      <c r="BG253" s="65">
        <f t="shared" si="99"/>
        <v>23</v>
      </c>
      <c r="BH253" s="65"/>
      <c r="BI253" s="65">
        <f t="shared" si="95"/>
        <v>32</v>
      </c>
      <c r="BJ253" s="65"/>
      <c r="BK253" s="65" t="s">
        <v>238</v>
      </c>
      <c r="BL253" s="65"/>
      <c r="BM253" s="228">
        <f>PRIJZEN!$I$51</f>
        <v>2.8</v>
      </c>
      <c r="BN253" s="65"/>
      <c r="BO253" s="65"/>
      <c r="BP253" s="65">
        <f t="shared" si="96"/>
        <v>46</v>
      </c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  <c r="CA253" s="65"/>
      <c r="CB253" s="65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1"/>
      <c r="DF253" s="91"/>
      <c r="DG253" s="409"/>
      <c r="DH253" s="409"/>
      <c r="DI253" s="409"/>
      <c r="DJ253" s="409"/>
      <c r="DK253" s="409"/>
      <c r="DL253" s="409"/>
      <c r="DM253" s="409"/>
      <c r="DN253" s="409"/>
      <c r="DO253" s="409"/>
      <c r="DP253" s="409"/>
      <c r="DQ253" s="409"/>
      <c r="DR253" s="409"/>
      <c r="DS253" s="409"/>
      <c r="DT253" s="409"/>
      <c r="DU253" s="409"/>
      <c r="DV253" s="409"/>
      <c r="DW253" s="409"/>
      <c r="DX253" s="409"/>
      <c r="DY253" s="409"/>
      <c r="DZ253" s="409"/>
      <c r="EA253" s="409"/>
      <c r="EB253" s="409"/>
      <c r="EC253" s="409"/>
      <c r="ED253" s="409"/>
    </row>
    <row r="254" spans="1:134" ht="22.3">
      <c r="A254" s="61"/>
      <c r="B254" s="299" t="s">
        <v>811</v>
      </c>
      <c r="C254" s="1104" t="s">
        <v>289</v>
      </c>
      <c r="D254" s="1105"/>
      <c r="E254" s="1105"/>
      <c r="F254" s="1105"/>
      <c r="G254" s="1105"/>
      <c r="H254" s="1105"/>
      <c r="I254" s="1105"/>
      <c r="J254" s="1105"/>
      <c r="K254" s="1105"/>
      <c r="L254" s="1105"/>
      <c r="M254" s="1105"/>
      <c r="N254" s="1105"/>
      <c r="O254" s="1106"/>
      <c r="P254" s="187"/>
      <c r="Q254" s="205"/>
      <c r="R254" s="205"/>
      <c r="S254" s="205"/>
      <c r="T254" s="205"/>
      <c r="U254" s="205"/>
      <c r="V254" s="205"/>
      <c r="W254" s="205"/>
      <c r="X254" s="205"/>
      <c r="Y254" s="205"/>
      <c r="Z254" s="212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65" t="s">
        <v>272</v>
      </c>
      <c r="AX254" s="205"/>
      <c r="AY254" s="205"/>
      <c r="AZ254" s="205"/>
      <c r="BA254" s="205"/>
      <c r="BB254" s="205"/>
      <c r="BC254" s="205"/>
      <c r="BD254" s="224">
        <f>PRIJZEN!$I$37</f>
        <v>8.9499999999999993</v>
      </c>
      <c r="BE254" s="65"/>
      <c r="BF254" s="65"/>
      <c r="BG254" s="65">
        <f t="shared" si="99"/>
        <v>24</v>
      </c>
      <c r="BH254" s="65"/>
      <c r="BI254" s="65">
        <f t="shared" si="95"/>
        <v>33</v>
      </c>
      <c r="BJ254" s="65"/>
      <c r="BK254" s="65" t="s">
        <v>298</v>
      </c>
      <c r="BL254" s="65"/>
      <c r="BM254" s="228">
        <f>PRIJZEN!$I$52</f>
        <v>3.05</v>
      </c>
      <c r="BN254" s="65"/>
      <c r="BO254" s="65"/>
      <c r="BP254" s="65">
        <f t="shared" si="96"/>
        <v>48</v>
      </c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1"/>
      <c r="DB254" s="91"/>
      <c r="DC254" s="91"/>
      <c r="DD254" s="91"/>
      <c r="DE254" s="91"/>
      <c r="DF254" s="91"/>
      <c r="DG254" s="409"/>
      <c r="DH254" s="409"/>
      <c r="DI254" s="409"/>
      <c r="DJ254" s="409"/>
      <c r="DK254" s="409"/>
      <c r="DL254" s="409"/>
      <c r="DM254" s="409"/>
      <c r="DN254" s="409"/>
      <c r="DO254" s="409"/>
      <c r="DP254" s="409"/>
      <c r="DQ254" s="409"/>
      <c r="DR254" s="409"/>
      <c r="DS254" s="409"/>
      <c r="DT254" s="409"/>
      <c r="DU254" s="409"/>
      <c r="DV254" s="409"/>
      <c r="DW254" s="409"/>
      <c r="DX254" s="409"/>
      <c r="DY254" s="409"/>
      <c r="DZ254" s="409"/>
      <c r="EA254" s="409"/>
      <c r="EB254" s="409"/>
      <c r="EC254" s="409"/>
      <c r="ED254" s="409"/>
    </row>
    <row r="255" spans="1:134" ht="20.05" customHeight="1">
      <c r="A255" s="63"/>
      <c r="B255" s="150"/>
      <c r="C255" s="150"/>
      <c r="D255" s="1285" t="s">
        <v>304</v>
      </c>
      <c r="E255" s="1286"/>
      <c r="F255" s="1286"/>
      <c r="G255" s="1286"/>
      <c r="H255" s="1322"/>
      <c r="I255" s="1285" t="s">
        <v>305</v>
      </c>
      <c r="J255" s="1286"/>
      <c r="K255" s="1286"/>
      <c r="L255" s="1286"/>
      <c r="M255" s="1322"/>
      <c r="N255" s="1100" t="str">
        <f>IF(OR(D255="Klik &amp; Kies soort warme lunch",I255="klik &amp; kies aantal personen"),"",SUM(Q255:T255))</f>
        <v/>
      </c>
      <c r="O255" s="1101"/>
      <c r="P255" s="359"/>
      <c r="Q255" s="127">
        <f>IF($D255=$AJ$250,$AM$250*$I255,0)</f>
        <v>0</v>
      </c>
      <c r="R255" s="127">
        <f>IF($D255=$AJ$251,$AM$251*$I255,0)</f>
        <v>0</v>
      </c>
      <c r="S255" s="127">
        <f>IF($D255=$AJ$252,$AM$252*$I255,0)</f>
        <v>0</v>
      </c>
      <c r="T255" s="127">
        <f>IF($D255=$AJ$253,$AM$253*$I255,0)</f>
        <v>0</v>
      </c>
      <c r="U255" s="205"/>
      <c r="V255" s="205"/>
      <c r="W255" s="205"/>
      <c r="X255" s="205"/>
      <c r="Y255" s="205"/>
      <c r="Z255" s="212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65"/>
      <c r="AX255" s="205"/>
      <c r="AY255" s="205"/>
      <c r="AZ255" s="205"/>
      <c r="BA255" s="205"/>
      <c r="BB255" s="205"/>
      <c r="BC255" s="205"/>
      <c r="BD255" s="224"/>
      <c r="BE255" s="65"/>
      <c r="BF255" s="65"/>
      <c r="BG255" s="65">
        <f t="shared" si="99"/>
        <v>25</v>
      </c>
      <c r="BH255" s="65"/>
      <c r="BI255" s="65">
        <f t="shared" si="95"/>
        <v>34</v>
      </c>
      <c r="BJ255" s="65"/>
      <c r="BK255" s="65"/>
      <c r="BL255" s="65"/>
      <c r="BM255" s="65"/>
      <c r="BN255" s="65"/>
      <c r="BO255" s="65"/>
      <c r="BP255" s="65">
        <f t="shared" si="96"/>
        <v>50</v>
      </c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1"/>
      <c r="DB255" s="91"/>
      <c r="DC255" s="91"/>
      <c r="DD255" s="91"/>
      <c r="DE255" s="91"/>
      <c r="DF255" s="91"/>
      <c r="DG255" s="409"/>
      <c r="DH255" s="409"/>
      <c r="DI255" s="409"/>
      <c r="DJ255" s="409"/>
      <c r="DK255" s="409"/>
      <c r="DL255" s="409"/>
      <c r="DM255" s="409"/>
      <c r="DN255" s="409"/>
      <c r="DO255" s="409"/>
      <c r="DP255" s="409"/>
      <c r="DQ255" s="409"/>
      <c r="DR255" s="409"/>
      <c r="DS255" s="409"/>
      <c r="DT255" s="409"/>
      <c r="DU255" s="409"/>
      <c r="DV255" s="409"/>
      <c r="DW255" s="409"/>
      <c r="DX255" s="409"/>
      <c r="DY255" s="409"/>
      <c r="DZ255" s="409"/>
      <c r="EA255" s="409"/>
      <c r="EB255" s="409"/>
      <c r="EC255" s="409"/>
      <c r="ED255" s="409"/>
    </row>
    <row r="256" spans="1:134" ht="20.05" customHeight="1">
      <c r="A256" s="63"/>
      <c r="B256" s="994" t="s">
        <v>118</v>
      </c>
      <c r="C256" s="1142"/>
      <c r="D256" s="1319" t="s">
        <v>304</v>
      </c>
      <c r="E256" s="1320"/>
      <c r="F256" s="1320"/>
      <c r="G256" s="1320"/>
      <c r="H256" s="1321"/>
      <c r="I256" s="1319" t="s">
        <v>305</v>
      </c>
      <c r="J256" s="1320"/>
      <c r="K256" s="1320"/>
      <c r="L256" s="1320"/>
      <c r="M256" s="1321"/>
      <c r="N256" s="1157" t="str">
        <f>IF(OR(D256="Klik &amp; Kies soort warme lunch",I256="klik &amp; kies aantal personen"),"",SUM(Q256:T256))</f>
        <v/>
      </c>
      <c r="O256" s="1158"/>
      <c r="P256" s="359"/>
      <c r="Q256" s="127">
        <f t="shared" ref="Q256:Q258" si="101">IF($D256=$AJ$250,$AM$250*$I256,0)</f>
        <v>0</v>
      </c>
      <c r="R256" s="127">
        <f t="shared" ref="R256:R258" si="102">IF($D256=$AJ$251,$AM$251*$I256,0)</f>
        <v>0</v>
      </c>
      <c r="S256" s="127">
        <f t="shared" ref="S256:S258" si="103">IF($D256=$AJ$252,$AM$252*$I256,0)</f>
        <v>0</v>
      </c>
      <c r="T256" s="127">
        <f t="shared" ref="T256:T258" si="104">IF($D256=$AJ$253,$AM$253*$I256,0)</f>
        <v>0</v>
      </c>
      <c r="U256" s="205"/>
      <c r="V256" s="205"/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5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5"/>
      <c r="AR256" s="205"/>
      <c r="AS256" s="205"/>
      <c r="AT256" s="205"/>
      <c r="AU256" s="205"/>
      <c r="AV256" s="205"/>
      <c r="AW256" s="65"/>
      <c r="AX256" s="205"/>
      <c r="AY256" s="205"/>
      <c r="AZ256" s="205"/>
      <c r="BA256" s="205"/>
      <c r="BB256" s="205"/>
      <c r="BC256" s="205"/>
      <c r="BD256" s="205"/>
      <c r="BE256" s="65"/>
      <c r="BF256" s="65"/>
      <c r="BG256" s="65">
        <f t="shared" si="99"/>
        <v>26</v>
      </c>
      <c r="BH256" s="65"/>
      <c r="BI256" s="65">
        <f t="shared" si="95"/>
        <v>35</v>
      </c>
      <c r="BJ256" s="65"/>
      <c r="BK256" s="65"/>
      <c r="BL256" s="65"/>
      <c r="BM256" s="65"/>
      <c r="BN256" s="65"/>
      <c r="BO256" s="65"/>
      <c r="BP256" s="65">
        <f t="shared" si="96"/>
        <v>52</v>
      </c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1"/>
      <c r="DF256" s="91"/>
      <c r="DG256" s="409"/>
      <c r="DH256" s="409"/>
      <c r="DI256" s="409"/>
      <c r="DJ256" s="409"/>
      <c r="DK256" s="409"/>
      <c r="DL256" s="409"/>
      <c r="DM256" s="409"/>
      <c r="DN256" s="409"/>
      <c r="DO256" s="409"/>
      <c r="DP256" s="409"/>
      <c r="DQ256" s="409"/>
      <c r="DR256" s="409"/>
      <c r="DS256" s="409"/>
      <c r="DT256" s="409"/>
      <c r="DU256" s="409"/>
      <c r="DV256" s="409"/>
      <c r="DW256" s="409"/>
      <c r="DX256" s="409"/>
      <c r="DY256" s="409"/>
      <c r="DZ256" s="409"/>
      <c r="EA256" s="409"/>
      <c r="EB256" s="409"/>
      <c r="EC256" s="409"/>
      <c r="ED256" s="409"/>
    </row>
    <row r="257" spans="1:134" ht="20.05" customHeight="1">
      <c r="A257" s="63"/>
      <c r="B257" s="994" t="s">
        <v>288</v>
      </c>
      <c r="C257" s="1142"/>
      <c r="D257" s="1319" t="s">
        <v>304</v>
      </c>
      <c r="E257" s="1320"/>
      <c r="F257" s="1320"/>
      <c r="G257" s="1320"/>
      <c r="H257" s="1321"/>
      <c r="I257" s="1319" t="s">
        <v>305</v>
      </c>
      <c r="J257" s="1320"/>
      <c r="K257" s="1320"/>
      <c r="L257" s="1320"/>
      <c r="M257" s="1321"/>
      <c r="N257" s="1043" t="str">
        <f>IF(OR(D257="Klik &amp; Kies soort warme lunch",I257="klik &amp; kies aantal personen"),"",SUM(Q257:T257))</f>
        <v/>
      </c>
      <c r="O257" s="1044"/>
      <c r="P257" s="359"/>
      <c r="Q257" s="127">
        <f t="shared" si="101"/>
        <v>0</v>
      </c>
      <c r="R257" s="127">
        <f t="shared" si="102"/>
        <v>0</v>
      </c>
      <c r="S257" s="127">
        <f t="shared" si="103"/>
        <v>0</v>
      </c>
      <c r="T257" s="127">
        <f t="shared" si="104"/>
        <v>0</v>
      </c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>
        <f t="shared" si="99"/>
        <v>27</v>
      </c>
      <c r="BH257" s="65"/>
      <c r="BI257" s="65">
        <f t="shared" si="95"/>
        <v>36</v>
      </c>
      <c r="BJ257" s="65"/>
      <c r="BK257" s="65"/>
      <c r="BL257" s="65"/>
      <c r="BM257" s="65"/>
      <c r="BN257" s="65"/>
      <c r="BO257" s="65"/>
      <c r="BP257" s="65">
        <f t="shared" si="96"/>
        <v>54</v>
      </c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65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1"/>
      <c r="DB257" s="91"/>
      <c r="DC257" s="91"/>
      <c r="DD257" s="91"/>
      <c r="DE257" s="91"/>
      <c r="DF257" s="91"/>
      <c r="DG257" s="409"/>
      <c r="DH257" s="409"/>
      <c r="DI257" s="409"/>
      <c r="DJ257" s="409"/>
      <c r="DK257" s="409"/>
      <c r="DL257" s="409"/>
      <c r="DM257" s="409"/>
      <c r="DN257" s="409"/>
      <c r="DO257" s="409"/>
      <c r="DP257" s="409"/>
      <c r="DQ257" s="409"/>
      <c r="DR257" s="409"/>
      <c r="DS257" s="409"/>
      <c r="DT257" s="409"/>
      <c r="DU257" s="409"/>
      <c r="DV257" s="409"/>
      <c r="DW257" s="409"/>
      <c r="DX257" s="409"/>
      <c r="DY257" s="409"/>
      <c r="DZ257" s="409"/>
      <c r="EA257" s="409"/>
      <c r="EB257" s="409"/>
      <c r="EC257" s="409"/>
      <c r="ED257" s="409"/>
    </row>
    <row r="258" spans="1:134" ht="20.05" customHeight="1" thickBot="1">
      <c r="A258" s="63"/>
      <c r="B258" s="159"/>
      <c r="C258" s="733"/>
      <c r="D258" s="1097" t="s">
        <v>304</v>
      </c>
      <c r="E258" s="1098"/>
      <c r="F258" s="1098"/>
      <c r="G258" s="1098"/>
      <c r="H258" s="1099"/>
      <c r="I258" s="1112" t="s">
        <v>305</v>
      </c>
      <c r="J258" s="1113"/>
      <c r="K258" s="1113"/>
      <c r="L258" s="1113"/>
      <c r="M258" s="1114"/>
      <c r="N258" s="1317" t="str">
        <f>IF(OR(D258="Klik &amp; Kies soort warme lunch",I258="klik &amp; kies aantal personen"),"",SUM(Q258:T258))</f>
        <v/>
      </c>
      <c r="O258" s="1318"/>
      <c r="P258" s="359"/>
      <c r="Q258" s="127">
        <f t="shared" si="101"/>
        <v>0</v>
      </c>
      <c r="R258" s="127">
        <f t="shared" si="102"/>
        <v>0</v>
      </c>
      <c r="S258" s="127">
        <f t="shared" si="103"/>
        <v>0</v>
      </c>
      <c r="T258" s="127">
        <f t="shared" si="104"/>
        <v>0</v>
      </c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>
        <f t="shared" si="99"/>
        <v>28</v>
      </c>
      <c r="BH258" s="65"/>
      <c r="BI258" s="65">
        <f t="shared" si="95"/>
        <v>37</v>
      </c>
      <c r="BJ258" s="65"/>
      <c r="BK258" s="65"/>
      <c r="BL258" s="65"/>
      <c r="BM258" s="65"/>
      <c r="BN258" s="65"/>
      <c r="BO258" s="65"/>
      <c r="BP258" s="65">
        <f t="shared" si="96"/>
        <v>56</v>
      </c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1"/>
      <c r="DF258" s="91"/>
      <c r="DG258" s="409"/>
      <c r="DH258" s="409"/>
      <c r="DI258" s="409"/>
      <c r="DJ258" s="409"/>
      <c r="DK258" s="409"/>
      <c r="DL258" s="409"/>
      <c r="DM258" s="409"/>
      <c r="DN258" s="409"/>
      <c r="DO258" s="409"/>
      <c r="DP258" s="409"/>
      <c r="DQ258" s="409"/>
      <c r="DR258" s="409"/>
      <c r="DS258" s="409"/>
      <c r="DT258" s="409"/>
      <c r="DU258" s="409"/>
      <c r="DV258" s="409"/>
      <c r="DW258" s="409"/>
      <c r="DX258" s="409"/>
      <c r="DY258" s="409"/>
      <c r="DZ258" s="409"/>
      <c r="EA258" s="409"/>
      <c r="EB258" s="409"/>
      <c r="EC258" s="409"/>
      <c r="ED258" s="409"/>
    </row>
    <row r="259" spans="1:134" ht="20.05" customHeight="1" thickBot="1">
      <c r="A259" s="63"/>
      <c r="B259" s="360" t="s">
        <v>427</v>
      </c>
      <c r="C259" s="361"/>
      <c r="D259" s="1128"/>
      <c r="E259" s="1128"/>
      <c r="F259" s="1128"/>
      <c r="G259" s="1128"/>
      <c r="H259" s="1128"/>
      <c r="I259" s="1129"/>
      <c r="J259" s="1121" t="s">
        <v>308</v>
      </c>
      <c r="K259" s="1121"/>
      <c r="L259" s="1121"/>
      <c r="M259" s="1089"/>
      <c r="N259" s="1088">
        <f>SUM(N255:O258)+SUM(N246:O252)+SUM(N240:O244)+SUM(N229:O238)+SUM(N221:O227)+SUM(N188:O217)+SUM(N181:O182)+SUM(N169:O179)+SUM(N160:O167)+SUM(N151:O158)+SUM(N139:O149)+SUM(N120:O137)+SUM(N98:O117)+SUM(N83:O92)+SUM(N72:O74)+SUM(N77:O78)+SUM(N66:O70)+SUM(N61:O63)+SUM(N57:O59)+SUM(N55)+SUM(N41:O53)+SUM(N35:O39)+SUM(N15:O32)+SUM(N7:O10)+SUM(N4:O5)</f>
        <v>0</v>
      </c>
      <c r="O259" s="1089"/>
      <c r="P259" s="65"/>
      <c r="Q259" s="65"/>
      <c r="R259" s="65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>
        <f t="shared" si="99"/>
        <v>29</v>
      </c>
      <c r="BH259" s="65"/>
      <c r="BI259" s="65">
        <f t="shared" si="95"/>
        <v>38</v>
      </c>
      <c r="BJ259" s="65"/>
      <c r="BK259" s="65"/>
      <c r="BL259" s="65"/>
      <c r="BM259" s="65"/>
      <c r="BN259" s="65"/>
      <c r="BO259" s="65"/>
      <c r="BP259" s="65">
        <f t="shared" si="96"/>
        <v>58</v>
      </c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1"/>
      <c r="DF259" s="91"/>
      <c r="DG259" s="409"/>
      <c r="DH259" s="409"/>
      <c r="DI259" s="409"/>
      <c r="DJ259" s="409"/>
      <c r="DK259" s="409"/>
      <c r="DL259" s="409"/>
      <c r="DM259" s="409"/>
      <c r="DN259" s="409"/>
      <c r="DO259" s="409"/>
      <c r="DP259" s="409"/>
      <c r="DQ259" s="409"/>
      <c r="DR259" s="409"/>
      <c r="DS259" s="409"/>
      <c r="DT259" s="409"/>
      <c r="DU259" s="409"/>
      <c r="DV259" s="409"/>
      <c r="DW259" s="409"/>
      <c r="DX259" s="409"/>
      <c r="DY259" s="409"/>
      <c r="DZ259" s="409"/>
      <c r="EA259" s="409"/>
      <c r="EB259" s="409"/>
      <c r="EC259" s="409"/>
      <c r="ED259" s="409"/>
    </row>
    <row r="260" spans="1:134" ht="20.05" customHeight="1">
      <c r="A260" s="63"/>
      <c r="B260" s="1130"/>
      <c r="C260" s="1131"/>
      <c r="D260" s="1131"/>
      <c r="E260" s="1131"/>
      <c r="F260" s="1131"/>
      <c r="G260" s="1131"/>
      <c r="H260" s="1131"/>
      <c r="I260" s="1132"/>
      <c r="J260" s="1122" t="s">
        <v>311</v>
      </c>
      <c r="K260" s="1122"/>
      <c r="L260" s="1122"/>
      <c r="M260" s="1091"/>
      <c r="N260" s="1092">
        <f>SUM(AB241*PRIJZEN!I39)</f>
        <v>0</v>
      </c>
      <c r="O260" s="1093"/>
      <c r="P260" s="65"/>
      <c r="Q260" s="65"/>
      <c r="R260" s="65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>
        <f t="shared" ref="BG260:BG265" si="105">SUM(BG259+1)</f>
        <v>30</v>
      </c>
      <c r="BH260" s="65"/>
      <c r="BI260" s="65">
        <f t="shared" si="95"/>
        <v>39</v>
      </c>
      <c r="BJ260" s="65"/>
      <c r="BK260" s="65"/>
      <c r="BL260" s="65"/>
      <c r="BM260" s="65"/>
      <c r="BN260" s="65"/>
      <c r="BO260" s="65"/>
      <c r="BP260" s="65">
        <f t="shared" si="96"/>
        <v>60</v>
      </c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65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1"/>
      <c r="DB260" s="91"/>
      <c r="DC260" s="91"/>
      <c r="DD260" s="91"/>
      <c r="DE260" s="91"/>
      <c r="DF260" s="91"/>
      <c r="DG260" s="409"/>
      <c r="DH260" s="409"/>
      <c r="DI260" s="409"/>
      <c r="DJ260" s="409"/>
      <c r="DK260" s="409"/>
      <c r="DL260" s="409"/>
      <c r="DM260" s="409"/>
      <c r="DN260" s="409"/>
      <c r="DO260" s="409"/>
      <c r="DP260" s="409"/>
      <c r="DQ260" s="409"/>
      <c r="DR260" s="409"/>
      <c r="DS260" s="409"/>
      <c r="DT260" s="409"/>
      <c r="DU260" s="409"/>
      <c r="DV260" s="409"/>
      <c r="DW260" s="409"/>
      <c r="DX260" s="409"/>
      <c r="DY260" s="409"/>
      <c r="DZ260" s="409"/>
      <c r="EA260" s="409"/>
      <c r="EB260" s="409"/>
      <c r="EC260" s="409"/>
      <c r="ED260" s="409"/>
    </row>
    <row r="261" spans="1:134" ht="20.05" customHeight="1">
      <c r="A261" s="63"/>
      <c r="B261" s="1130"/>
      <c r="C261" s="1131"/>
      <c r="D261" s="1131"/>
      <c r="E261" s="1131"/>
      <c r="F261" s="1131"/>
      <c r="G261" s="1131"/>
      <c r="H261" s="1131"/>
      <c r="I261" s="1132"/>
      <c r="J261" s="1122" t="s">
        <v>309</v>
      </c>
      <c r="K261" s="1122"/>
      <c r="L261" s="1122"/>
      <c r="M261" s="1091"/>
      <c r="N261" s="1090">
        <f>SUM(N259-N262)</f>
        <v>0</v>
      </c>
      <c r="O261" s="1091"/>
      <c r="P261" s="65"/>
      <c r="Q261" s="65"/>
      <c r="R261" s="65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>
        <f t="shared" si="105"/>
        <v>31</v>
      </c>
      <c r="BH261" s="65"/>
      <c r="BI261" s="65">
        <f t="shared" si="95"/>
        <v>40</v>
      </c>
      <c r="BJ261" s="65"/>
      <c r="BK261" s="65"/>
      <c r="BL261" s="65"/>
      <c r="BM261" s="65"/>
      <c r="BN261" s="65"/>
      <c r="BO261" s="65"/>
      <c r="BP261" s="65">
        <f t="shared" si="96"/>
        <v>62</v>
      </c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65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1"/>
      <c r="DB261" s="91"/>
      <c r="DC261" s="91"/>
      <c r="DD261" s="91"/>
      <c r="DE261" s="91"/>
      <c r="DF261" s="91"/>
      <c r="DG261" s="409"/>
      <c r="DH261" s="409"/>
      <c r="DI261" s="409"/>
      <c r="DJ261" s="409"/>
      <c r="DK261" s="409"/>
      <c r="DL261" s="409"/>
      <c r="DM261" s="409"/>
      <c r="DN261" s="409"/>
      <c r="DO261" s="409"/>
      <c r="DP261" s="409"/>
      <c r="DQ261" s="409"/>
      <c r="DR261" s="409"/>
      <c r="DS261" s="409"/>
      <c r="DT261" s="409"/>
      <c r="DU261" s="409"/>
      <c r="DV261" s="409"/>
      <c r="DW261" s="409"/>
      <c r="DX261" s="409"/>
      <c r="DY261" s="409"/>
      <c r="DZ261" s="409"/>
      <c r="EA261" s="409"/>
      <c r="EB261" s="409"/>
      <c r="EC261" s="409"/>
      <c r="ED261" s="409"/>
    </row>
    <row r="262" spans="1:134" ht="20.05" customHeight="1" thickBot="1">
      <c r="A262" s="63"/>
      <c r="B262" s="1130"/>
      <c r="C262" s="1131"/>
      <c r="D262" s="1131"/>
      <c r="E262" s="1131"/>
      <c r="F262" s="1131"/>
      <c r="G262" s="1131"/>
      <c r="H262" s="1131"/>
      <c r="I262" s="1132"/>
      <c r="J262" s="1122" t="s">
        <v>310</v>
      </c>
      <c r="K262" s="1122"/>
      <c r="L262" s="1122"/>
      <c r="M262" s="1091"/>
      <c r="N262" s="1090">
        <f>SUM(N244)+SUM(N61:O63)+SUM(N55)</f>
        <v>0</v>
      </c>
      <c r="O262" s="1091"/>
      <c r="P262" s="65"/>
      <c r="Q262" s="65"/>
      <c r="R262" s="65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>
        <f t="shared" si="105"/>
        <v>32</v>
      </c>
      <c r="BH262" s="65"/>
      <c r="BI262" s="65">
        <f t="shared" si="95"/>
        <v>41</v>
      </c>
      <c r="BJ262" s="65"/>
      <c r="BK262" s="65"/>
      <c r="BL262" s="65"/>
      <c r="BM262" s="65"/>
      <c r="BN262" s="65"/>
      <c r="BO262" s="65"/>
      <c r="BP262" s="65">
        <f t="shared" si="96"/>
        <v>64</v>
      </c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1"/>
      <c r="DB262" s="91"/>
      <c r="DC262" s="91"/>
      <c r="DD262" s="91"/>
      <c r="DE262" s="91"/>
      <c r="DF262" s="91"/>
      <c r="DG262" s="409"/>
      <c r="DH262" s="409"/>
      <c r="DI262" s="409"/>
      <c r="DJ262" s="409"/>
      <c r="DK262" s="409"/>
      <c r="DL262" s="409"/>
      <c r="DM262" s="409"/>
      <c r="DN262" s="409"/>
      <c r="DO262" s="409"/>
      <c r="DP262" s="409"/>
      <c r="DQ262" s="409"/>
      <c r="DR262" s="409"/>
      <c r="DS262" s="409"/>
      <c r="DT262" s="409"/>
      <c r="DU262" s="409"/>
      <c r="DV262" s="409"/>
      <c r="DW262" s="409"/>
      <c r="DX262" s="409"/>
      <c r="DY262" s="409"/>
      <c r="DZ262" s="409"/>
      <c r="EA262" s="409"/>
      <c r="EB262" s="409"/>
      <c r="EC262" s="409"/>
      <c r="ED262" s="409"/>
    </row>
    <row r="263" spans="1:134" ht="20.05" customHeight="1">
      <c r="A263" s="63"/>
      <c r="B263" s="1130"/>
      <c r="C263" s="1131"/>
      <c r="D263" s="1131"/>
      <c r="E263" s="1131"/>
      <c r="F263" s="1131"/>
      <c r="G263" s="1131"/>
      <c r="H263" s="1131"/>
      <c r="I263" s="1133"/>
      <c r="J263" s="1115" t="s">
        <v>315</v>
      </c>
      <c r="K263" s="1116"/>
      <c r="L263" s="1116"/>
      <c r="M263" s="1117"/>
      <c r="N263" s="1124">
        <f>SUM(N260:O262)</f>
        <v>0</v>
      </c>
      <c r="O263" s="1125"/>
      <c r="P263" s="65"/>
      <c r="Q263" s="65"/>
      <c r="R263" s="65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>
        <f t="shared" si="105"/>
        <v>33</v>
      </c>
      <c r="BH263" s="65"/>
      <c r="BI263" s="65">
        <f t="shared" si="95"/>
        <v>42</v>
      </c>
      <c r="BJ263" s="65"/>
      <c r="BK263" s="65"/>
      <c r="BL263" s="65"/>
      <c r="BM263" s="65"/>
      <c r="BN263" s="65"/>
      <c r="BO263" s="65"/>
      <c r="BP263" s="65">
        <f t="shared" si="96"/>
        <v>66</v>
      </c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65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1"/>
      <c r="DF263" s="91"/>
      <c r="DG263" s="409"/>
      <c r="DH263" s="409"/>
      <c r="DI263" s="409"/>
      <c r="DJ263" s="409"/>
      <c r="DK263" s="409"/>
      <c r="DL263" s="409"/>
      <c r="DM263" s="409"/>
      <c r="DN263" s="409"/>
      <c r="DO263" s="409"/>
      <c r="DP263" s="409"/>
      <c r="DQ263" s="409"/>
      <c r="DR263" s="409"/>
      <c r="DS263" s="409"/>
      <c r="DT263" s="409"/>
      <c r="DU263" s="409"/>
      <c r="DV263" s="409"/>
      <c r="DW263" s="409"/>
      <c r="DX263" s="409"/>
      <c r="DY263" s="409"/>
      <c r="DZ263" s="409"/>
      <c r="EA263" s="409"/>
      <c r="EB263" s="409"/>
      <c r="EC263" s="409"/>
      <c r="ED263" s="409"/>
    </row>
    <row r="264" spans="1:134" ht="20.05" customHeight="1" thickBot="1">
      <c r="A264" s="61"/>
      <c r="B264" s="1134"/>
      <c r="C264" s="1135"/>
      <c r="D264" s="1135"/>
      <c r="E264" s="1135"/>
      <c r="F264" s="1135"/>
      <c r="G264" s="1135"/>
      <c r="H264" s="1135"/>
      <c r="I264" s="1136"/>
      <c r="J264" s="1118"/>
      <c r="K264" s="1119"/>
      <c r="L264" s="1119"/>
      <c r="M264" s="1120"/>
      <c r="N264" s="1126"/>
      <c r="O264" s="1127"/>
      <c r="P264" s="65"/>
      <c r="Q264" s="65"/>
      <c r="R264" s="65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>
        <f t="shared" si="105"/>
        <v>34</v>
      </c>
      <c r="BH264" s="65"/>
      <c r="BI264" s="65">
        <f t="shared" si="95"/>
        <v>43</v>
      </c>
      <c r="BJ264" s="65"/>
      <c r="BK264" s="65"/>
      <c r="BL264" s="65"/>
      <c r="BM264" s="65"/>
      <c r="BN264" s="65"/>
      <c r="BO264" s="65"/>
      <c r="BP264" s="65">
        <f t="shared" si="96"/>
        <v>68</v>
      </c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1"/>
      <c r="DB264" s="91"/>
      <c r="DC264" s="91"/>
      <c r="DD264" s="91"/>
      <c r="DE264" s="91"/>
      <c r="DF264" s="91"/>
      <c r="DG264" s="409"/>
      <c r="DH264" s="409"/>
      <c r="DI264" s="409"/>
      <c r="DJ264" s="409"/>
      <c r="DK264" s="409"/>
      <c r="DL264" s="409"/>
      <c r="DM264" s="409"/>
      <c r="DN264" s="409"/>
      <c r="DO264" s="409"/>
      <c r="DP264" s="409"/>
      <c r="DQ264" s="409"/>
      <c r="DR264" s="409"/>
      <c r="DS264" s="409"/>
      <c r="DT264" s="409"/>
      <c r="DU264" s="409"/>
      <c r="DV264" s="409"/>
      <c r="DW264" s="409"/>
      <c r="DX264" s="409"/>
      <c r="DY264" s="409"/>
      <c r="DZ264" s="409"/>
      <c r="EA264" s="409"/>
      <c r="EB264" s="409"/>
      <c r="EC264" s="409"/>
      <c r="ED264" s="409"/>
    </row>
    <row r="265" spans="1:134">
      <c r="A265" s="6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65"/>
      <c r="Q265" s="65"/>
      <c r="R265" s="65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>
        <f t="shared" si="105"/>
        <v>35</v>
      </c>
      <c r="BH265" s="65"/>
      <c r="BI265" s="65">
        <f t="shared" si="95"/>
        <v>44</v>
      </c>
      <c r="BJ265" s="65"/>
      <c r="BK265" s="65"/>
      <c r="BL265" s="65"/>
      <c r="BM265" s="65"/>
      <c r="BN265" s="65"/>
      <c r="BO265" s="65"/>
      <c r="BP265" s="65">
        <f t="shared" si="96"/>
        <v>70</v>
      </c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1"/>
      <c r="DF265" s="91"/>
      <c r="DG265" s="409"/>
      <c r="DH265" s="409"/>
      <c r="DI265" s="409"/>
      <c r="DJ265" s="409"/>
      <c r="DK265" s="409"/>
      <c r="DL265" s="409"/>
      <c r="DM265" s="409"/>
      <c r="DN265" s="409"/>
      <c r="DO265" s="409"/>
      <c r="DP265" s="409"/>
      <c r="DQ265" s="409"/>
      <c r="DR265" s="409"/>
      <c r="DS265" s="409"/>
      <c r="DT265" s="409"/>
      <c r="DU265" s="409"/>
      <c r="DV265" s="409"/>
      <c r="DW265" s="409"/>
      <c r="DX265" s="409"/>
      <c r="DY265" s="409"/>
      <c r="DZ265" s="409"/>
      <c r="EA265" s="409"/>
      <c r="EB265" s="409"/>
      <c r="EC265" s="409"/>
      <c r="ED265" s="409"/>
    </row>
    <row r="266" spans="1:134">
      <c r="A266" s="6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65"/>
      <c r="Q266" s="65"/>
      <c r="R266" s="65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>
        <f t="shared" ref="BG266:BG273" si="106">SUM(BG265+1)</f>
        <v>36</v>
      </c>
      <c r="BH266" s="65"/>
      <c r="BI266" s="65">
        <f t="shared" si="95"/>
        <v>45</v>
      </c>
      <c r="BJ266" s="65"/>
      <c r="BK266" s="65"/>
      <c r="BL266" s="65"/>
      <c r="BM266" s="65"/>
      <c r="BN266" s="65"/>
      <c r="BO266" s="65"/>
      <c r="BP266" s="65">
        <f t="shared" si="96"/>
        <v>72</v>
      </c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1"/>
      <c r="DB266" s="91"/>
      <c r="DC266" s="91"/>
      <c r="DD266" s="91"/>
      <c r="DE266" s="91"/>
      <c r="DF266" s="91"/>
      <c r="DG266" s="409"/>
      <c r="DH266" s="409"/>
      <c r="DI266" s="409"/>
      <c r="DJ266" s="409"/>
      <c r="DK266" s="409"/>
      <c r="DL266" s="409"/>
      <c r="DM266" s="409"/>
      <c r="DN266" s="409"/>
      <c r="DO266" s="409"/>
      <c r="DP266" s="409"/>
      <c r="DQ266" s="409"/>
      <c r="DR266" s="409"/>
      <c r="DS266" s="409"/>
      <c r="DT266" s="409"/>
      <c r="DU266" s="409"/>
      <c r="DV266" s="409"/>
      <c r="DW266" s="409"/>
      <c r="DX266" s="409"/>
      <c r="DY266" s="409"/>
      <c r="DZ266" s="409"/>
      <c r="EA266" s="409"/>
      <c r="EB266" s="409"/>
      <c r="EC266" s="409"/>
      <c r="ED266" s="409"/>
    </row>
    <row r="267" spans="1:134">
      <c r="A267" s="6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65"/>
      <c r="Q267" s="65"/>
      <c r="R267" s="65"/>
      <c r="S267" s="65"/>
      <c r="T267" s="65"/>
      <c r="U267" s="65"/>
      <c r="V267" s="65"/>
      <c r="W267" s="65"/>
      <c r="X267" s="65"/>
      <c r="Y267" s="65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>
        <f t="shared" si="106"/>
        <v>37</v>
      </c>
      <c r="BH267" s="65"/>
      <c r="BI267" s="65">
        <f t="shared" si="95"/>
        <v>46</v>
      </c>
      <c r="BJ267" s="65"/>
      <c r="BK267" s="65"/>
      <c r="BL267" s="65"/>
      <c r="BM267" s="65"/>
      <c r="BN267" s="65"/>
      <c r="BO267" s="65"/>
      <c r="BP267" s="65">
        <f t="shared" si="96"/>
        <v>74</v>
      </c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1"/>
      <c r="DB267" s="91"/>
      <c r="DC267" s="91"/>
      <c r="DD267" s="91"/>
      <c r="DE267" s="91"/>
      <c r="DF267" s="91"/>
      <c r="DG267" s="409"/>
      <c r="DH267" s="409"/>
      <c r="DI267" s="409"/>
      <c r="DJ267" s="409"/>
      <c r="DK267" s="409"/>
      <c r="DL267" s="409"/>
      <c r="DM267" s="409"/>
      <c r="DN267" s="409"/>
      <c r="DO267" s="409"/>
      <c r="DP267" s="409"/>
      <c r="DQ267" s="409"/>
      <c r="DR267" s="409"/>
      <c r="DS267" s="409"/>
      <c r="DT267" s="409"/>
      <c r="DU267" s="409"/>
      <c r="DV267" s="409"/>
      <c r="DW267" s="409"/>
      <c r="DX267" s="409"/>
      <c r="DY267" s="409"/>
      <c r="DZ267" s="409"/>
      <c r="EA267" s="409"/>
      <c r="EB267" s="409"/>
      <c r="EC267" s="409"/>
      <c r="ED267" s="409"/>
    </row>
    <row r="268" spans="1:134">
      <c r="A268" s="6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65"/>
      <c r="Q268" s="65"/>
      <c r="R268" s="65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>
        <f t="shared" si="106"/>
        <v>38</v>
      </c>
      <c r="BH268" s="65"/>
      <c r="BI268" s="65">
        <f t="shared" si="95"/>
        <v>47</v>
      </c>
      <c r="BJ268" s="65"/>
      <c r="BK268" s="65"/>
      <c r="BL268" s="65"/>
      <c r="BM268" s="65"/>
      <c r="BN268" s="65"/>
      <c r="BO268" s="65"/>
      <c r="BP268" s="65">
        <f t="shared" si="96"/>
        <v>76</v>
      </c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65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1"/>
      <c r="DF268" s="91"/>
      <c r="DG268" s="409"/>
      <c r="DH268" s="409"/>
      <c r="DI268" s="409"/>
      <c r="DJ268" s="409"/>
      <c r="DK268" s="409"/>
      <c r="DL268" s="409"/>
      <c r="DM268" s="409"/>
      <c r="DN268" s="409"/>
      <c r="DO268" s="409"/>
      <c r="DP268" s="409"/>
      <c r="DQ268" s="409"/>
      <c r="DR268" s="409"/>
      <c r="DS268" s="409"/>
      <c r="DT268" s="409"/>
      <c r="DU268" s="409"/>
      <c r="DV268" s="409"/>
      <c r="DW268" s="409"/>
      <c r="DX268" s="409"/>
      <c r="DY268" s="409"/>
      <c r="DZ268" s="409"/>
      <c r="EA268" s="409"/>
      <c r="EB268" s="409"/>
      <c r="EC268" s="409"/>
      <c r="ED268" s="409"/>
    </row>
    <row r="269" spans="1:134">
      <c r="A269" s="6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65"/>
      <c r="Q269" s="65"/>
      <c r="R269" s="65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>
        <f t="shared" si="106"/>
        <v>39</v>
      </c>
      <c r="BH269" s="65"/>
      <c r="BI269" s="65">
        <f t="shared" si="95"/>
        <v>48</v>
      </c>
      <c r="BJ269" s="65"/>
      <c r="BK269" s="65"/>
      <c r="BL269" s="65"/>
      <c r="BM269" s="65"/>
      <c r="BN269" s="65"/>
      <c r="BO269" s="65"/>
      <c r="BP269" s="65">
        <f t="shared" si="96"/>
        <v>78</v>
      </c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1"/>
      <c r="DB269" s="91"/>
      <c r="DC269" s="91"/>
      <c r="DD269" s="91"/>
      <c r="DE269" s="91"/>
      <c r="DF269" s="91"/>
      <c r="DG269" s="409"/>
      <c r="DH269" s="409"/>
      <c r="DI269" s="409"/>
      <c r="DJ269" s="409"/>
      <c r="DK269" s="409"/>
      <c r="DL269" s="409"/>
      <c r="DM269" s="409"/>
      <c r="DN269" s="409"/>
      <c r="DO269" s="409"/>
      <c r="DP269" s="409"/>
      <c r="DQ269" s="409"/>
      <c r="DR269" s="409"/>
      <c r="DS269" s="409"/>
      <c r="DT269" s="409"/>
      <c r="DU269" s="409"/>
      <c r="DV269" s="409"/>
      <c r="DW269" s="409"/>
      <c r="DX269" s="409"/>
      <c r="DY269" s="409"/>
      <c r="DZ269" s="409"/>
      <c r="EA269" s="409"/>
      <c r="EB269" s="409"/>
      <c r="EC269" s="409"/>
      <c r="ED269" s="409"/>
    </row>
    <row r="270" spans="1:134">
      <c r="A270" s="6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595" t="s">
        <v>519</v>
      </c>
      <c r="Q270" s="65"/>
      <c r="R270" s="65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>
        <f t="shared" si="106"/>
        <v>40</v>
      </c>
      <c r="BH270" s="65"/>
      <c r="BI270" s="65">
        <f t="shared" si="95"/>
        <v>49</v>
      </c>
      <c r="BJ270" s="65"/>
      <c r="BK270" s="65"/>
      <c r="BL270" s="65"/>
      <c r="BM270" s="65"/>
      <c r="BN270" s="65"/>
      <c r="BO270" s="65"/>
      <c r="BP270" s="65">
        <f t="shared" si="96"/>
        <v>80</v>
      </c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65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1"/>
      <c r="DB270" s="91"/>
      <c r="DC270" s="91"/>
      <c r="DD270" s="91"/>
      <c r="DE270" s="91"/>
      <c r="DF270" s="91"/>
      <c r="DG270" s="409"/>
      <c r="DH270" s="409"/>
      <c r="DI270" s="409"/>
      <c r="DJ270" s="409"/>
      <c r="DK270" s="409"/>
      <c r="DL270" s="409"/>
      <c r="DM270" s="409"/>
      <c r="DN270" s="409"/>
      <c r="DO270" s="409"/>
      <c r="DP270" s="409"/>
      <c r="DQ270" s="409"/>
      <c r="DR270" s="409"/>
      <c r="DS270" s="409"/>
      <c r="DT270" s="409"/>
      <c r="DU270" s="409"/>
      <c r="DV270" s="409"/>
      <c r="DW270" s="409"/>
      <c r="DX270" s="409"/>
      <c r="DY270" s="409"/>
      <c r="DZ270" s="409"/>
      <c r="EA270" s="409"/>
      <c r="EB270" s="409"/>
      <c r="EC270" s="409"/>
      <c r="ED270" s="409"/>
    </row>
    <row r="271" spans="1:134">
      <c r="A271" s="6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315"/>
      <c r="Q271" s="65"/>
      <c r="R271" s="65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>
        <f t="shared" si="106"/>
        <v>41</v>
      </c>
      <c r="BH271" s="65"/>
      <c r="BI271" s="65">
        <f t="shared" si="95"/>
        <v>50</v>
      </c>
      <c r="BJ271" s="65"/>
      <c r="BK271" s="65"/>
      <c r="BL271" s="65"/>
      <c r="BM271" s="65"/>
      <c r="BN271" s="65"/>
      <c r="BO271" s="65"/>
      <c r="BP271" s="65">
        <f t="shared" si="96"/>
        <v>82</v>
      </c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65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1"/>
      <c r="DB271" s="91"/>
      <c r="DC271" s="91"/>
      <c r="DD271" s="91"/>
      <c r="DE271" s="91"/>
      <c r="DF271" s="91"/>
      <c r="DG271" s="409"/>
      <c r="DH271" s="409"/>
      <c r="DI271" s="409"/>
      <c r="DJ271" s="409"/>
      <c r="DK271" s="409"/>
      <c r="DL271" s="409"/>
      <c r="DM271" s="409"/>
      <c r="DN271" s="409"/>
      <c r="DO271" s="409"/>
      <c r="DP271" s="409"/>
      <c r="DQ271" s="409"/>
      <c r="DR271" s="409"/>
      <c r="DS271" s="409"/>
      <c r="DT271" s="409"/>
      <c r="DU271" s="409"/>
      <c r="DV271" s="409"/>
      <c r="DW271" s="409"/>
      <c r="DX271" s="409"/>
      <c r="DY271" s="409"/>
      <c r="DZ271" s="409"/>
      <c r="EA271" s="409"/>
      <c r="EB271" s="409"/>
      <c r="EC271" s="409"/>
      <c r="ED271" s="409"/>
    </row>
    <row r="272" spans="1:134">
      <c r="A272" s="6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315" t="s">
        <v>391</v>
      </c>
      <c r="Q272" s="65"/>
      <c r="R272" s="65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>
        <f t="shared" si="106"/>
        <v>42</v>
      </c>
      <c r="BH272" s="65"/>
      <c r="BI272" s="65"/>
      <c r="BJ272" s="65"/>
      <c r="BK272" s="65"/>
      <c r="BL272" s="65"/>
      <c r="BM272" s="65"/>
      <c r="BN272" s="65"/>
      <c r="BO272" s="65"/>
      <c r="BP272" s="65">
        <f t="shared" si="96"/>
        <v>84</v>
      </c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65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1"/>
      <c r="DB272" s="91"/>
      <c r="DC272" s="91"/>
      <c r="DD272" s="91"/>
      <c r="DE272" s="91"/>
      <c r="DF272" s="91"/>
      <c r="DG272" s="409"/>
      <c r="DH272" s="409"/>
      <c r="DI272" s="409"/>
      <c r="DJ272" s="409"/>
      <c r="DK272" s="409"/>
      <c r="DL272" s="409"/>
      <c r="DM272" s="409"/>
      <c r="DN272" s="409"/>
      <c r="DO272" s="409"/>
      <c r="DP272" s="409"/>
      <c r="DQ272" s="409"/>
      <c r="DR272" s="409"/>
      <c r="DS272" s="409"/>
      <c r="DT272" s="409"/>
      <c r="DU272" s="409"/>
      <c r="DV272" s="409"/>
      <c r="DW272" s="409"/>
      <c r="DX272" s="409"/>
      <c r="DY272" s="409"/>
      <c r="DZ272" s="409"/>
      <c r="EA272" s="409"/>
      <c r="EB272" s="409"/>
      <c r="EC272" s="409"/>
      <c r="ED272" s="409"/>
    </row>
    <row r="273" spans="1:134">
      <c r="A273" s="6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315" t="s">
        <v>392</v>
      </c>
      <c r="Q273" s="65"/>
      <c r="R273" s="65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>
        <f t="shared" si="106"/>
        <v>43</v>
      </c>
      <c r="BH273" s="65"/>
      <c r="BI273" s="65"/>
      <c r="BJ273" s="65"/>
      <c r="BK273" s="65"/>
      <c r="BL273" s="65"/>
      <c r="BM273" s="65"/>
      <c r="BN273" s="65"/>
      <c r="BO273" s="65"/>
      <c r="BP273" s="65">
        <f t="shared" si="96"/>
        <v>86</v>
      </c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  <c r="CA273" s="65"/>
      <c r="CB273" s="65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1"/>
      <c r="DF273" s="91"/>
      <c r="DG273" s="409"/>
      <c r="DH273" s="409"/>
      <c r="DI273" s="409"/>
      <c r="DJ273" s="409"/>
      <c r="DK273" s="409"/>
      <c r="DL273" s="409"/>
      <c r="DM273" s="409"/>
      <c r="DN273" s="409"/>
      <c r="DO273" s="409"/>
      <c r="DP273" s="409"/>
      <c r="DQ273" s="409"/>
      <c r="DR273" s="409"/>
      <c r="DS273" s="409"/>
      <c r="DT273" s="409"/>
      <c r="DU273" s="409"/>
      <c r="DV273" s="409"/>
      <c r="DW273" s="409"/>
      <c r="DX273" s="409"/>
      <c r="DY273" s="409"/>
      <c r="DZ273" s="409"/>
      <c r="EA273" s="409"/>
      <c r="EB273" s="409"/>
      <c r="EC273" s="409"/>
      <c r="ED273" s="409"/>
    </row>
    <row r="274" spans="1:134">
      <c r="A274" s="6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65"/>
      <c r="Q274" s="65"/>
      <c r="R274" s="65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>
        <f t="shared" ref="BG274:BG283" si="107">SUM(BG273+1)</f>
        <v>44</v>
      </c>
      <c r="BH274" s="65"/>
      <c r="BI274" s="65"/>
      <c r="BJ274" s="65"/>
      <c r="BK274" s="65"/>
      <c r="BL274" s="65"/>
      <c r="BM274" s="65"/>
      <c r="BN274" s="65"/>
      <c r="BO274" s="65"/>
      <c r="BP274" s="65">
        <f t="shared" si="96"/>
        <v>88</v>
      </c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65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1"/>
      <c r="DB274" s="91"/>
      <c r="DC274" s="91"/>
      <c r="DD274" s="91"/>
      <c r="DE274" s="91"/>
      <c r="DF274" s="91"/>
      <c r="DG274" s="409"/>
      <c r="DH274" s="409"/>
      <c r="DI274" s="409"/>
      <c r="DJ274" s="409"/>
      <c r="DK274" s="409"/>
      <c r="DL274" s="409"/>
      <c r="DM274" s="409"/>
      <c r="DN274" s="409"/>
      <c r="DO274" s="409"/>
      <c r="DP274" s="409"/>
      <c r="DQ274" s="409"/>
      <c r="DR274" s="409"/>
      <c r="DS274" s="409"/>
      <c r="DT274" s="409"/>
      <c r="DU274" s="409"/>
      <c r="DV274" s="409"/>
      <c r="DW274" s="409"/>
      <c r="DX274" s="409"/>
      <c r="DY274" s="409"/>
      <c r="DZ274" s="409"/>
      <c r="EA274" s="409"/>
      <c r="EB274" s="409"/>
      <c r="EC274" s="409"/>
      <c r="ED274" s="409"/>
    </row>
    <row r="275" spans="1:134">
      <c r="A275" s="6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65"/>
      <c r="Q275" s="65"/>
      <c r="R275" s="65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>
        <f t="shared" si="107"/>
        <v>45</v>
      </c>
      <c r="BH275" s="65"/>
      <c r="BI275" s="65"/>
      <c r="BJ275" s="65"/>
      <c r="BK275" s="65"/>
      <c r="BL275" s="65"/>
      <c r="BM275" s="65"/>
      <c r="BN275" s="65"/>
      <c r="BO275" s="65"/>
      <c r="BP275" s="65">
        <f t="shared" si="96"/>
        <v>90</v>
      </c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  <c r="CA275" s="65"/>
      <c r="CB275" s="65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1"/>
      <c r="DB275" s="91"/>
      <c r="DC275" s="91"/>
      <c r="DD275" s="91"/>
      <c r="DE275" s="91"/>
      <c r="DF275" s="91"/>
      <c r="DG275" s="409"/>
      <c r="DH275" s="409"/>
      <c r="DI275" s="409"/>
      <c r="DJ275" s="409"/>
      <c r="DK275" s="409"/>
      <c r="DL275" s="409"/>
      <c r="DM275" s="409"/>
      <c r="DN275" s="409"/>
      <c r="DO275" s="409"/>
      <c r="DP275" s="409"/>
      <c r="DQ275" s="409"/>
      <c r="DR275" s="409"/>
      <c r="DS275" s="409"/>
      <c r="DT275" s="409"/>
      <c r="DU275" s="409"/>
      <c r="DV275" s="409"/>
      <c r="DW275" s="409"/>
      <c r="DX275" s="409"/>
      <c r="DY275" s="409"/>
      <c r="DZ275" s="409"/>
      <c r="EA275" s="409"/>
      <c r="EB275" s="409"/>
      <c r="EC275" s="409"/>
      <c r="ED275" s="409"/>
    </row>
    <row r="276" spans="1:134">
      <c r="A276" s="6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698" t="s">
        <v>319</v>
      </c>
      <c r="Q276" s="65"/>
      <c r="R276" s="65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>
        <f t="shared" si="107"/>
        <v>46</v>
      </c>
      <c r="BH276" s="65"/>
      <c r="BI276" s="65"/>
      <c r="BJ276" s="65"/>
      <c r="BK276" s="65"/>
      <c r="BL276" s="65"/>
      <c r="BM276" s="65"/>
      <c r="BN276" s="65"/>
      <c r="BO276" s="65"/>
      <c r="BP276" s="65">
        <f t="shared" si="96"/>
        <v>92</v>
      </c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65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1"/>
      <c r="DB276" s="91"/>
      <c r="DC276" s="91"/>
      <c r="DD276" s="91"/>
      <c r="DE276" s="91"/>
      <c r="DF276" s="91"/>
      <c r="DG276" s="409"/>
      <c r="DH276" s="409"/>
      <c r="DI276" s="409"/>
      <c r="DJ276" s="409"/>
      <c r="DK276" s="409"/>
      <c r="DL276" s="409"/>
      <c r="DM276" s="409"/>
      <c r="DN276" s="409"/>
      <c r="DO276" s="409"/>
      <c r="DP276" s="409"/>
      <c r="DQ276" s="409"/>
      <c r="DR276" s="409"/>
      <c r="DS276" s="409"/>
      <c r="DT276" s="409"/>
      <c r="DU276" s="409"/>
      <c r="DV276" s="409"/>
      <c r="DW276" s="409"/>
      <c r="DX276" s="409"/>
      <c r="DY276" s="409"/>
      <c r="DZ276" s="409"/>
      <c r="EA276" s="409"/>
      <c r="EB276" s="409"/>
      <c r="EC276" s="409"/>
      <c r="ED276" s="409"/>
    </row>
    <row r="277" spans="1:134">
      <c r="A277" s="6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317">
        <v>1</v>
      </c>
      <c r="Q277" s="65"/>
      <c r="R277" s="65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>
        <f t="shared" si="107"/>
        <v>47</v>
      </c>
      <c r="BH277" s="65"/>
      <c r="BI277" s="65"/>
      <c r="BJ277" s="65"/>
      <c r="BK277" s="65"/>
      <c r="BL277" s="65"/>
      <c r="BM277" s="65"/>
      <c r="BN277" s="65"/>
      <c r="BO277" s="65"/>
      <c r="BP277" s="65">
        <f t="shared" si="96"/>
        <v>94</v>
      </c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65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1"/>
      <c r="DB277" s="91"/>
      <c r="DC277" s="91"/>
      <c r="DD277" s="91"/>
      <c r="DE277" s="91"/>
      <c r="DF277" s="91"/>
      <c r="DG277" s="409"/>
      <c r="DH277" s="409"/>
      <c r="DI277" s="409"/>
      <c r="DJ277" s="409"/>
      <c r="DK277" s="409"/>
      <c r="DL277" s="409"/>
      <c r="DM277" s="409"/>
      <c r="DN277" s="409"/>
      <c r="DO277" s="409"/>
      <c r="DP277" s="409"/>
      <c r="DQ277" s="409"/>
      <c r="DR277" s="409"/>
      <c r="DS277" s="409"/>
      <c r="DT277" s="409"/>
      <c r="DU277" s="409"/>
      <c r="DV277" s="409"/>
      <c r="DW277" s="409"/>
      <c r="DX277" s="409"/>
      <c r="DY277" s="409"/>
      <c r="DZ277" s="409"/>
      <c r="EA277" s="409"/>
      <c r="EB277" s="409"/>
      <c r="EC277" s="409"/>
      <c r="ED277" s="409"/>
    </row>
    <row r="278" spans="1:134">
      <c r="A278" s="6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317">
        <v>2</v>
      </c>
      <c r="Q278" s="65"/>
      <c r="R278" s="65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>
        <f t="shared" si="107"/>
        <v>48</v>
      </c>
      <c r="BH278" s="65"/>
      <c r="BI278" s="65"/>
      <c r="BJ278" s="65"/>
      <c r="BK278" s="65"/>
      <c r="BL278" s="65"/>
      <c r="BM278" s="65"/>
      <c r="BN278" s="65"/>
      <c r="BO278" s="65"/>
      <c r="BP278" s="65">
        <f t="shared" si="96"/>
        <v>96</v>
      </c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  <c r="CA278" s="65"/>
      <c r="CB278" s="65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1"/>
      <c r="DF278" s="91"/>
      <c r="DG278" s="409"/>
      <c r="DH278" s="409"/>
      <c r="DI278" s="409"/>
      <c r="DJ278" s="409"/>
      <c r="DK278" s="409"/>
      <c r="DL278" s="409"/>
      <c r="DM278" s="409"/>
      <c r="DN278" s="409"/>
      <c r="DO278" s="409"/>
      <c r="DP278" s="409"/>
      <c r="DQ278" s="409"/>
      <c r="DR278" s="409"/>
      <c r="DS278" s="409"/>
      <c r="DT278" s="409"/>
      <c r="DU278" s="409"/>
      <c r="DV278" s="409"/>
      <c r="DW278" s="409"/>
      <c r="DX278" s="409"/>
      <c r="DY278" s="409"/>
      <c r="DZ278" s="409"/>
      <c r="EA278" s="409"/>
      <c r="EB278" s="409"/>
      <c r="EC278" s="409"/>
      <c r="ED278" s="409"/>
    </row>
    <row r="279" spans="1:134">
      <c r="A279" s="6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317">
        <v>3</v>
      </c>
      <c r="Q279" s="65"/>
      <c r="R279" s="65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>
        <f t="shared" si="107"/>
        <v>49</v>
      </c>
      <c r="BH279" s="65"/>
      <c r="BI279" s="65"/>
      <c r="BJ279" s="65"/>
      <c r="BK279" s="65"/>
      <c r="BL279" s="65"/>
      <c r="BM279" s="65"/>
      <c r="BN279" s="65"/>
      <c r="BO279" s="65"/>
      <c r="BP279" s="65">
        <f t="shared" si="96"/>
        <v>98</v>
      </c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65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1"/>
      <c r="DF279" s="91"/>
      <c r="DG279" s="409"/>
      <c r="DH279" s="409"/>
      <c r="DI279" s="409"/>
      <c r="DJ279" s="409"/>
      <c r="DK279" s="409"/>
      <c r="DL279" s="409"/>
      <c r="DM279" s="409"/>
      <c r="DN279" s="409"/>
      <c r="DO279" s="409"/>
      <c r="DP279" s="409"/>
      <c r="DQ279" s="409"/>
      <c r="DR279" s="409"/>
      <c r="DS279" s="409"/>
      <c r="DT279" s="409"/>
      <c r="DU279" s="409"/>
      <c r="DV279" s="409"/>
      <c r="DW279" s="409"/>
      <c r="DX279" s="409"/>
      <c r="DY279" s="409"/>
      <c r="DZ279" s="409"/>
      <c r="EA279" s="409"/>
      <c r="EB279" s="409"/>
      <c r="EC279" s="409"/>
      <c r="ED279" s="409"/>
    </row>
    <row r="280" spans="1:134">
      <c r="A280" s="6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65"/>
      <c r="Q280" s="65"/>
      <c r="R280" s="65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>
        <f t="shared" si="107"/>
        <v>50</v>
      </c>
      <c r="BH280" s="65"/>
      <c r="BI280" s="65"/>
      <c r="BJ280" s="65"/>
      <c r="BK280" s="65"/>
      <c r="BL280" s="65"/>
      <c r="BM280" s="65"/>
      <c r="BN280" s="65"/>
      <c r="BO280" s="65"/>
      <c r="BP280" s="65">
        <f t="shared" si="96"/>
        <v>100</v>
      </c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  <c r="CA280" s="65"/>
      <c r="CB280" s="65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1"/>
      <c r="DF280" s="91"/>
      <c r="DG280" s="409"/>
      <c r="DH280" s="409"/>
      <c r="DI280" s="409"/>
      <c r="DJ280" s="409"/>
      <c r="DK280" s="409"/>
      <c r="DL280" s="409"/>
      <c r="DM280" s="409"/>
      <c r="DN280" s="409"/>
      <c r="DO280" s="409"/>
      <c r="DP280" s="409"/>
      <c r="DQ280" s="409"/>
      <c r="DR280" s="409"/>
      <c r="DS280" s="409"/>
      <c r="DT280" s="409"/>
      <c r="DU280" s="409"/>
      <c r="DV280" s="409"/>
      <c r="DW280" s="409"/>
      <c r="DX280" s="409"/>
      <c r="DY280" s="409"/>
      <c r="DZ280" s="409"/>
      <c r="EA280" s="409"/>
      <c r="EB280" s="409"/>
      <c r="EC280" s="409"/>
      <c r="ED280" s="409"/>
    </row>
    <row r="281" spans="1:134">
      <c r="A281" s="6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65"/>
      <c r="Q281" s="65"/>
      <c r="R281" s="65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>
        <f t="shared" si="107"/>
        <v>51</v>
      </c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65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1"/>
      <c r="DF281" s="91"/>
      <c r="DG281" s="409"/>
      <c r="DH281" s="409"/>
      <c r="DI281" s="409"/>
      <c r="DJ281" s="409"/>
      <c r="DK281" s="409"/>
      <c r="DL281" s="409"/>
      <c r="DM281" s="409"/>
      <c r="DN281" s="409"/>
      <c r="DO281" s="409"/>
      <c r="DP281" s="409"/>
      <c r="DQ281" s="409"/>
      <c r="DR281" s="409"/>
      <c r="DS281" s="409"/>
      <c r="DT281" s="409"/>
      <c r="DU281" s="409"/>
      <c r="DV281" s="409"/>
      <c r="DW281" s="409"/>
      <c r="DX281" s="409"/>
      <c r="DY281" s="409"/>
      <c r="DZ281" s="409"/>
      <c r="EA281" s="409"/>
      <c r="EB281" s="409"/>
      <c r="EC281" s="409"/>
      <c r="ED281" s="409"/>
    </row>
    <row r="282" spans="1:134">
      <c r="A282" s="6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65"/>
      <c r="Q282" s="65"/>
      <c r="R282" s="65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>
        <f t="shared" si="107"/>
        <v>52</v>
      </c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1"/>
      <c r="DF282" s="91"/>
      <c r="DG282" s="409"/>
      <c r="DH282" s="409"/>
      <c r="DI282" s="409"/>
      <c r="DJ282" s="409"/>
      <c r="DK282" s="409"/>
      <c r="DL282" s="409"/>
      <c r="DM282" s="409"/>
      <c r="DN282" s="409"/>
      <c r="DO282" s="409"/>
      <c r="DP282" s="409"/>
      <c r="DQ282" s="409"/>
      <c r="DR282" s="409"/>
      <c r="DS282" s="409"/>
      <c r="DT282" s="409"/>
      <c r="DU282" s="409"/>
      <c r="DV282" s="409"/>
      <c r="DW282" s="409"/>
      <c r="DX282" s="409"/>
      <c r="DY282" s="409"/>
      <c r="DZ282" s="409"/>
      <c r="EA282" s="409"/>
      <c r="EB282" s="409"/>
      <c r="EC282" s="409"/>
      <c r="ED282" s="409"/>
    </row>
    <row r="283" spans="1:134">
      <c r="A283" s="6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65"/>
      <c r="Q283" s="65"/>
      <c r="R283" s="65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>
        <f t="shared" si="107"/>
        <v>53</v>
      </c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409"/>
      <c r="DH283" s="409"/>
      <c r="DI283" s="409"/>
      <c r="DJ283" s="409"/>
      <c r="DK283" s="409"/>
      <c r="DL283" s="409"/>
      <c r="DM283" s="409"/>
      <c r="DN283" s="409"/>
      <c r="DO283" s="409"/>
      <c r="DP283" s="409"/>
      <c r="DQ283" s="409"/>
      <c r="DR283" s="409"/>
      <c r="DS283" s="409"/>
      <c r="DT283" s="409"/>
      <c r="DU283" s="409"/>
      <c r="DV283" s="409"/>
      <c r="DW283" s="409"/>
      <c r="DX283" s="409"/>
      <c r="DY283" s="409"/>
      <c r="DZ283" s="409"/>
      <c r="EA283" s="409"/>
      <c r="EB283" s="409"/>
      <c r="EC283" s="409"/>
      <c r="ED283" s="409"/>
    </row>
    <row r="284" spans="1:134">
      <c r="A284" s="6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65"/>
      <c r="Q284" s="65"/>
      <c r="R284" s="65"/>
      <c r="S284" s="65"/>
      <c r="T284" s="65"/>
      <c r="U284" s="65"/>
      <c r="V284" s="65"/>
      <c r="W284" s="65"/>
      <c r="X284" s="65"/>
      <c r="Y284" s="65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  <c r="AK284" s="65"/>
      <c r="AL284" s="65"/>
      <c r="AM284" s="65"/>
      <c r="AN284" s="65"/>
      <c r="AO284" s="65"/>
      <c r="AP284" s="65"/>
      <c r="AQ284" s="65"/>
      <c r="AR284" s="65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>
        <f>SUM(BG283+1)</f>
        <v>54</v>
      </c>
      <c r="BH284" s="65"/>
      <c r="BI284" s="65"/>
      <c r="BJ284" s="65"/>
      <c r="BK284" s="65"/>
      <c r="BL284" s="65"/>
      <c r="BM284" s="65"/>
      <c r="BN284" s="65"/>
      <c r="BO284" s="65"/>
      <c r="BP284" s="65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  <c r="CA284" s="65"/>
      <c r="CB284" s="65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1"/>
      <c r="DF284" s="91"/>
      <c r="DG284" s="409"/>
      <c r="DH284" s="409"/>
      <c r="DI284" s="409"/>
      <c r="DJ284" s="409"/>
      <c r="DK284" s="409"/>
      <c r="DL284" s="409"/>
      <c r="DM284" s="409"/>
      <c r="DN284" s="409"/>
      <c r="DO284" s="409"/>
      <c r="DP284" s="409"/>
      <c r="DQ284" s="409"/>
      <c r="DR284" s="409"/>
      <c r="DS284" s="409"/>
      <c r="DT284" s="409"/>
      <c r="DU284" s="409"/>
      <c r="DV284" s="409"/>
      <c r="DW284" s="409"/>
      <c r="DX284" s="409"/>
      <c r="DY284" s="409"/>
      <c r="DZ284" s="409"/>
      <c r="EA284" s="409"/>
      <c r="EB284" s="409"/>
      <c r="EC284" s="409"/>
      <c r="ED284" s="409"/>
    </row>
    <row r="285" spans="1:134">
      <c r="A285" s="6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65"/>
      <c r="Q285" s="65"/>
      <c r="R285" s="65"/>
      <c r="S285" s="65"/>
      <c r="T285" s="65"/>
      <c r="U285" s="65"/>
      <c r="V285" s="65"/>
      <c r="W285" s="65"/>
      <c r="X285" s="65"/>
      <c r="Y285" s="65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>
        <f>SUM(BG284+1)</f>
        <v>55</v>
      </c>
      <c r="BH285" s="65"/>
      <c r="BI285" s="65"/>
      <c r="BJ285" s="65"/>
      <c r="BK285" s="65"/>
      <c r="BL285" s="65"/>
      <c r="BM285" s="65"/>
      <c r="BN285" s="65"/>
      <c r="BO285" s="65"/>
      <c r="BP285" s="65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  <c r="CA285" s="65"/>
      <c r="CB285" s="65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1"/>
      <c r="DF285" s="91"/>
      <c r="DG285" s="409"/>
      <c r="DH285" s="409"/>
      <c r="DI285" s="409"/>
      <c r="DJ285" s="409"/>
      <c r="DK285" s="409"/>
      <c r="DL285" s="409"/>
      <c r="DM285" s="409"/>
      <c r="DN285" s="409"/>
      <c r="DO285" s="409"/>
      <c r="DP285" s="409"/>
      <c r="DQ285" s="409"/>
      <c r="DR285" s="409"/>
      <c r="DS285" s="409"/>
      <c r="DT285" s="409"/>
      <c r="DU285" s="409"/>
      <c r="DV285" s="409"/>
      <c r="DW285" s="409"/>
      <c r="DX285" s="409"/>
      <c r="DY285" s="409"/>
      <c r="DZ285" s="409"/>
      <c r="EA285" s="409"/>
      <c r="EB285" s="409"/>
      <c r="EC285" s="409"/>
      <c r="ED285" s="409"/>
    </row>
    <row r="286" spans="1:134">
      <c r="A286" s="6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65"/>
      <c r="Q286" s="65"/>
      <c r="R286" s="65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>
        <f t="shared" ref="BG286:BG292" si="108">SUM(BG285+1)</f>
        <v>56</v>
      </c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65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1"/>
      <c r="DF286" s="91"/>
      <c r="DG286" s="409"/>
      <c r="DH286" s="409"/>
      <c r="DI286" s="409"/>
      <c r="DJ286" s="409"/>
      <c r="DK286" s="409"/>
      <c r="DL286" s="409"/>
      <c r="DM286" s="409"/>
      <c r="DN286" s="409"/>
      <c r="DO286" s="409"/>
      <c r="DP286" s="409"/>
      <c r="DQ286" s="409"/>
      <c r="DR286" s="409"/>
      <c r="DS286" s="409"/>
      <c r="DT286" s="409"/>
      <c r="DU286" s="409"/>
      <c r="DV286" s="409"/>
      <c r="DW286" s="409"/>
      <c r="DX286" s="409"/>
      <c r="DY286" s="409"/>
      <c r="DZ286" s="409"/>
      <c r="EA286" s="409"/>
      <c r="EB286" s="409"/>
      <c r="EC286" s="409"/>
      <c r="ED286" s="409"/>
    </row>
    <row r="287" spans="1:13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65"/>
      <c r="Q287" s="65"/>
      <c r="R287" s="65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>
        <f t="shared" si="108"/>
        <v>57</v>
      </c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65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1"/>
      <c r="DF287" s="91"/>
      <c r="DG287" s="409"/>
      <c r="DH287" s="409"/>
      <c r="DI287" s="409"/>
      <c r="DJ287" s="409"/>
      <c r="DK287" s="409"/>
      <c r="DL287" s="409"/>
      <c r="DM287" s="409"/>
      <c r="DN287" s="409"/>
      <c r="DO287" s="409"/>
      <c r="DP287" s="409"/>
      <c r="DQ287" s="409"/>
      <c r="DR287" s="409"/>
      <c r="DS287" s="409"/>
      <c r="DT287" s="409"/>
      <c r="DU287" s="409"/>
      <c r="DV287" s="409"/>
      <c r="DW287" s="409"/>
      <c r="DX287" s="409"/>
      <c r="DY287" s="409"/>
      <c r="DZ287" s="409"/>
      <c r="EA287" s="409"/>
      <c r="EB287" s="409"/>
      <c r="EC287" s="409"/>
      <c r="ED287" s="409"/>
    </row>
    <row r="288" spans="1:13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65"/>
      <c r="Q288" s="65"/>
      <c r="R288" s="65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>
        <f t="shared" si="108"/>
        <v>58</v>
      </c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  <c r="CA288" s="65"/>
      <c r="CB288" s="65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1"/>
      <c r="DF288" s="91"/>
      <c r="DG288" s="409"/>
      <c r="DH288" s="409"/>
      <c r="DI288" s="409"/>
      <c r="DJ288" s="409"/>
      <c r="DK288" s="409"/>
      <c r="DL288" s="409"/>
      <c r="DM288" s="409"/>
      <c r="DN288" s="409"/>
      <c r="DO288" s="409"/>
      <c r="DP288" s="409"/>
      <c r="DQ288" s="409"/>
      <c r="DR288" s="409"/>
      <c r="DS288" s="409"/>
      <c r="DT288" s="409"/>
      <c r="DU288" s="409"/>
      <c r="DV288" s="409"/>
      <c r="DW288" s="409"/>
      <c r="DX288" s="409"/>
      <c r="DY288" s="409"/>
      <c r="DZ288" s="409"/>
      <c r="EA288" s="409"/>
      <c r="EB288" s="409"/>
      <c r="EC288" s="409"/>
      <c r="ED288" s="409"/>
    </row>
    <row r="289" spans="1:13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65"/>
      <c r="Q289" s="65"/>
      <c r="R289" s="65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>
        <f t="shared" si="108"/>
        <v>59</v>
      </c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  <c r="CA289" s="65"/>
      <c r="CB289" s="65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1"/>
      <c r="DF289" s="91"/>
      <c r="DG289" s="409"/>
      <c r="DH289" s="409"/>
      <c r="DI289" s="409"/>
      <c r="DJ289" s="409"/>
      <c r="DK289" s="409"/>
      <c r="DL289" s="409"/>
      <c r="DM289" s="409"/>
      <c r="DN289" s="409"/>
      <c r="DO289" s="409"/>
      <c r="DP289" s="409"/>
      <c r="DQ289" s="409"/>
      <c r="DR289" s="409"/>
      <c r="DS289" s="409"/>
      <c r="DT289" s="409"/>
      <c r="DU289" s="409"/>
      <c r="DV289" s="409"/>
      <c r="DW289" s="409"/>
      <c r="DX289" s="409"/>
      <c r="DY289" s="409"/>
      <c r="DZ289" s="409"/>
      <c r="EA289" s="409"/>
      <c r="EB289" s="409"/>
      <c r="EC289" s="409"/>
      <c r="ED289" s="409"/>
    </row>
    <row r="290" spans="1:13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65"/>
      <c r="Q290" s="65"/>
      <c r="R290" s="65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>
        <f t="shared" si="108"/>
        <v>60</v>
      </c>
      <c r="BH290" s="65"/>
      <c r="BI290" s="65"/>
      <c r="BJ290" s="65"/>
      <c r="BK290" s="65"/>
      <c r="BL290" s="65"/>
      <c r="BM290" s="65"/>
      <c r="BN290" s="65"/>
      <c r="BO290" s="65"/>
      <c r="BP290" s="65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  <c r="CA290" s="65"/>
      <c r="CB290" s="65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1"/>
      <c r="DF290" s="91"/>
      <c r="DG290" s="409"/>
      <c r="DH290" s="409"/>
      <c r="DI290" s="409"/>
      <c r="DJ290" s="409"/>
      <c r="DK290" s="409"/>
      <c r="DL290" s="409"/>
      <c r="DM290" s="409"/>
      <c r="DN290" s="409"/>
      <c r="DO290" s="409"/>
      <c r="DP290" s="409"/>
      <c r="DQ290" s="409"/>
      <c r="DR290" s="409"/>
      <c r="DS290" s="409"/>
      <c r="DT290" s="409"/>
      <c r="DU290" s="409"/>
      <c r="DV290" s="409"/>
      <c r="DW290" s="409"/>
      <c r="DX290" s="409"/>
      <c r="DY290" s="409"/>
      <c r="DZ290" s="409"/>
      <c r="EA290" s="409"/>
      <c r="EB290" s="409"/>
      <c r="EC290" s="409"/>
      <c r="ED290" s="409"/>
    </row>
    <row r="291" spans="1:13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65"/>
      <c r="Q291" s="65"/>
      <c r="R291" s="65"/>
      <c r="S291" s="65"/>
      <c r="T291" s="65"/>
      <c r="U291" s="65"/>
      <c r="V291" s="65"/>
      <c r="W291" s="65"/>
      <c r="X291" s="65"/>
      <c r="Y291" s="65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>
        <f t="shared" si="108"/>
        <v>61</v>
      </c>
      <c r="BH291" s="65"/>
      <c r="BI291" s="65"/>
      <c r="BJ291" s="65"/>
      <c r="BK291" s="65"/>
      <c r="BL291" s="65"/>
      <c r="BM291" s="65"/>
      <c r="BN291" s="65"/>
      <c r="BO291" s="65"/>
      <c r="BP291" s="65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  <c r="CA291" s="65"/>
      <c r="CB291" s="65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1"/>
      <c r="DF291" s="91"/>
      <c r="DG291" s="409"/>
      <c r="DH291" s="409"/>
      <c r="DI291" s="409"/>
      <c r="DJ291" s="409"/>
      <c r="DK291" s="409"/>
      <c r="DL291" s="409"/>
      <c r="DM291" s="409"/>
      <c r="DN291" s="409"/>
      <c r="DO291" s="409"/>
      <c r="DP291" s="409"/>
      <c r="DQ291" s="409"/>
      <c r="DR291" s="409"/>
      <c r="DS291" s="409"/>
      <c r="DT291" s="409"/>
      <c r="DU291" s="409"/>
      <c r="DV291" s="409"/>
      <c r="DW291" s="409"/>
      <c r="DX291" s="409"/>
      <c r="DY291" s="409"/>
      <c r="DZ291" s="409"/>
      <c r="EA291" s="409"/>
      <c r="EB291" s="409"/>
      <c r="EC291" s="409"/>
      <c r="ED291" s="409"/>
    </row>
    <row r="292" spans="1:13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>
        <f t="shared" si="108"/>
        <v>62</v>
      </c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65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1"/>
      <c r="DF292" s="91"/>
      <c r="DG292" s="409"/>
      <c r="DH292" s="409"/>
      <c r="DI292" s="409"/>
      <c r="DJ292" s="409"/>
      <c r="DK292" s="409"/>
      <c r="DL292" s="409"/>
      <c r="DM292" s="409"/>
      <c r="DN292" s="409"/>
      <c r="DO292" s="409"/>
      <c r="DP292" s="409"/>
      <c r="DQ292" s="409"/>
      <c r="DR292" s="409"/>
      <c r="DS292" s="409"/>
      <c r="DT292" s="409"/>
      <c r="DU292" s="409"/>
      <c r="DV292" s="409"/>
      <c r="DW292" s="409"/>
      <c r="DX292" s="409"/>
      <c r="DY292" s="409"/>
      <c r="DZ292" s="409"/>
      <c r="EA292" s="409"/>
      <c r="EB292" s="409"/>
      <c r="EC292" s="409"/>
      <c r="ED292" s="409"/>
    </row>
    <row r="293" spans="1:13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65"/>
      <c r="Q293" s="65"/>
      <c r="R293" s="65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>
        <f t="shared" ref="BG293:BG307" si="109">SUM(BG292+1)</f>
        <v>63</v>
      </c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1"/>
      <c r="DF293" s="91"/>
      <c r="DG293" s="409"/>
      <c r="DH293" s="409"/>
      <c r="DI293" s="409"/>
      <c r="DJ293" s="409"/>
      <c r="DK293" s="409"/>
      <c r="DL293" s="409"/>
      <c r="DM293" s="409"/>
      <c r="DN293" s="409"/>
      <c r="DO293" s="409"/>
      <c r="DP293" s="409"/>
      <c r="DQ293" s="409"/>
      <c r="DR293" s="409"/>
      <c r="DS293" s="409"/>
      <c r="DT293" s="409"/>
      <c r="DU293" s="409"/>
      <c r="DV293" s="409"/>
      <c r="DW293" s="409"/>
      <c r="DX293" s="409"/>
      <c r="DY293" s="409"/>
      <c r="DZ293" s="409"/>
      <c r="EA293" s="409"/>
      <c r="EB293" s="409"/>
      <c r="EC293" s="409"/>
      <c r="ED293" s="409"/>
    </row>
    <row r="294" spans="1:13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65"/>
      <c r="Q294" s="65"/>
      <c r="R294" s="65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>
        <f t="shared" si="109"/>
        <v>64</v>
      </c>
      <c r="BH294" s="65"/>
      <c r="BI294" s="65"/>
      <c r="BJ294" s="65"/>
      <c r="BK294" s="65"/>
      <c r="BL294" s="65"/>
      <c r="BM294" s="65"/>
      <c r="BN294" s="65"/>
      <c r="BO294" s="65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  <c r="CA294" s="65"/>
      <c r="CB294" s="65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1"/>
      <c r="DF294" s="91"/>
      <c r="DG294" s="409"/>
      <c r="DH294" s="409"/>
      <c r="DI294" s="409"/>
      <c r="DJ294" s="409"/>
      <c r="DK294" s="409"/>
      <c r="DL294" s="409"/>
      <c r="DM294" s="409"/>
      <c r="DN294" s="409"/>
      <c r="DO294" s="409"/>
      <c r="DP294" s="409"/>
      <c r="DQ294" s="409"/>
      <c r="DR294" s="409"/>
      <c r="DS294" s="409"/>
      <c r="DT294" s="409"/>
      <c r="DU294" s="409"/>
      <c r="DV294" s="409"/>
      <c r="DW294" s="409"/>
      <c r="DX294" s="409"/>
      <c r="DY294" s="409"/>
      <c r="DZ294" s="409"/>
      <c r="EA294" s="409"/>
      <c r="EB294" s="409"/>
      <c r="EC294" s="409"/>
      <c r="ED294" s="409"/>
    </row>
    <row r="295" spans="1:13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65"/>
      <c r="Q295" s="65"/>
      <c r="R295" s="65"/>
      <c r="S295" s="65"/>
      <c r="T295" s="65"/>
      <c r="U295" s="65"/>
      <c r="V295" s="65"/>
      <c r="W295" s="65"/>
      <c r="X295" s="65"/>
      <c r="Y295" s="65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  <c r="AK295" s="65"/>
      <c r="AL295" s="65"/>
      <c r="AM295" s="65"/>
      <c r="AN295" s="65"/>
      <c r="AO295" s="65"/>
      <c r="AP295" s="65"/>
      <c r="AQ295" s="65"/>
      <c r="AR295" s="65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>
        <f t="shared" si="109"/>
        <v>65</v>
      </c>
      <c r="BH295" s="65"/>
      <c r="BI295" s="65"/>
      <c r="BJ295" s="65"/>
      <c r="BK295" s="65"/>
      <c r="BL295" s="65"/>
      <c r="BM295" s="65"/>
      <c r="BN295" s="65"/>
      <c r="BO295" s="65"/>
      <c r="BP295" s="65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  <c r="CA295" s="65"/>
      <c r="CB295" s="65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1"/>
      <c r="DF295" s="91"/>
      <c r="DG295" s="409"/>
      <c r="DH295" s="409"/>
      <c r="DI295" s="409"/>
      <c r="DJ295" s="409"/>
      <c r="DK295" s="409"/>
      <c r="DL295" s="409"/>
      <c r="DM295" s="409"/>
      <c r="DN295" s="409"/>
      <c r="DO295" s="409"/>
      <c r="DP295" s="409"/>
      <c r="DQ295" s="409"/>
      <c r="DR295" s="409"/>
      <c r="DS295" s="409"/>
      <c r="DT295" s="409"/>
      <c r="DU295" s="409"/>
      <c r="DV295" s="409"/>
      <c r="DW295" s="409"/>
      <c r="DX295" s="409"/>
      <c r="DY295" s="409"/>
      <c r="DZ295" s="409"/>
      <c r="EA295" s="409"/>
      <c r="EB295" s="409"/>
      <c r="EC295" s="409"/>
      <c r="ED295" s="409"/>
    </row>
    <row r="296" spans="1:13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65"/>
      <c r="Q296" s="65"/>
      <c r="R296" s="6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>
        <f t="shared" si="109"/>
        <v>66</v>
      </c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  <c r="CA296" s="65"/>
      <c r="CB296" s="65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1"/>
      <c r="DF296" s="91"/>
      <c r="DG296" s="409"/>
      <c r="DH296" s="409"/>
      <c r="DI296" s="409"/>
      <c r="DJ296" s="409"/>
      <c r="DK296" s="409"/>
      <c r="DL296" s="409"/>
      <c r="DM296" s="409"/>
      <c r="DN296" s="409"/>
      <c r="DO296" s="409"/>
      <c r="DP296" s="409"/>
      <c r="DQ296" s="409"/>
      <c r="DR296" s="409"/>
      <c r="DS296" s="409"/>
      <c r="DT296" s="409"/>
      <c r="DU296" s="409"/>
      <c r="DV296" s="409"/>
      <c r="DW296" s="409"/>
      <c r="DX296" s="409"/>
      <c r="DY296" s="409"/>
      <c r="DZ296" s="409"/>
      <c r="EA296" s="409"/>
      <c r="EB296" s="409"/>
      <c r="EC296" s="409"/>
      <c r="ED296" s="409"/>
    </row>
    <row r="297" spans="1:13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65"/>
      <c r="Q297" s="65"/>
      <c r="R297" s="65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>
        <f t="shared" si="109"/>
        <v>67</v>
      </c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  <c r="CA297" s="65"/>
      <c r="CB297" s="65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1"/>
      <c r="DF297" s="91"/>
      <c r="DG297" s="409"/>
      <c r="DH297" s="409"/>
      <c r="DI297" s="409"/>
      <c r="DJ297" s="409"/>
      <c r="DK297" s="409"/>
      <c r="DL297" s="409"/>
      <c r="DM297" s="409"/>
      <c r="DN297" s="409"/>
      <c r="DO297" s="409"/>
      <c r="DP297" s="409"/>
      <c r="DQ297" s="409"/>
      <c r="DR297" s="409"/>
      <c r="DS297" s="409"/>
      <c r="DT297" s="409"/>
      <c r="DU297" s="409"/>
      <c r="DV297" s="409"/>
      <c r="DW297" s="409"/>
      <c r="DX297" s="409"/>
      <c r="DY297" s="409"/>
      <c r="DZ297" s="409"/>
      <c r="EA297" s="409"/>
      <c r="EB297" s="409"/>
      <c r="EC297" s="409"/>
      <c r="ED297" s="409"/>
    </row>
    <row r="298" spans="1:13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65"/>
      <c r="Q298" s="65"/>
      <c r="R298" s="65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>
        <f t="shared" si="109"/>
        <v>68</v>
      </c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65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1"/>
      <c r="DF298" s="91"/>
      <c r="DG298" s="409"/>
      <c r="DH298" s="409"/>
      <c r="DI298" s="409"/>
      <c r="DJ298" s="409"/>
      <c r="DK298" s="409"/>
      <c r="DL298" s="409"/>
      <c r="DM298" s="409"/>
      <c r="DN298" s="409"/>
      <c r="DO298" s="409"/>
      <c r="DP298" s="409"/>
      <c r="DQ298" s="409"/>
      <c r="DR298" s="409"/>
      <c r="DS298" s="409"/>
      <c r="DT298" s="409"/>
      <c r="DU298" s="409"/>
      <c r="DV298" s="409"/>
      <c r="DW298" s="409"/>
      <c r="DX298" s="409"/>
      <c r="DY298" s="409"/>
      <c r="DZ298" s="409"/>
      <c r="EA298" s="409"/>
      <c r="EB298" s="409"/>
      <c r="EC298" s="409"/>
      <c r="ED298" s="409"/>
    </row>
    <row r="299" spans="1:13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65"/>
      <c r="Q299" s="65"/>
      <c r="R299" s="65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>
        <f t="shared" si="109"/>
        <v>69</v>
      </c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65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1"/>
      <c r="DF299" s="91"/>
      <c r="DG299" s="409"/>
      <c r="DH299" s="409"/>
      <c r="DI299" s="409"/>
      <c r="DJ299" s="409"/>
      <c r="DK299" s="409"/>
      <c r="DL299" s="409"/>
      <c r="DM299" s="409"/>
      <c r="DN299" s="409"/>
      <c r="DO299" s="409"/>
      <c r="DP299" s="409"/>
      <c r="DQ299" s="409"/>
      <c r="DR299" s="409"/>
      <c r="DS299" s="409"/>
      <c r="DT299" s="409"/>
      <c r="DU299" s="409"/>
      <c r="DV299" s="409"/>
      <c r="DW299" s="409"/>
      <c r="DX299" s="409"/>
      <c r="DY299" s="409"/>
      <c r="DZ299" s="409"/>
      <c r="EA299" s="409"/>
      <c r="EB299" s="409"/>
      <c r="EC299" s="409"/>
      <c r="ED299" s="409"/>
    </row>
    <row r="300" spans="1:13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65"/>
      <c r="Q300" s="65"/>
      <c r="R300" s="65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>
        <f t="shared" si="109"/>
        <v>70</v>
      </c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1"/>
      <c r="DB300" s="91"/>
      <c r="DC300" s="91"/>
      <c r="DD300" s="91"/>
      <c r="DE300" s="91"/>
      <c r="DF300" s="91"/>
      <c r="DG300" s="409"/>
      <c r="DH300" s="409"/>
      <c r="DI300" s="409"/>
      <c r="DJ300" s="409"/>
      <c r="DK300" s="409"/>
      <c r="DL300" s="409"/>
      <c r="DM300" s="409"/>
      <c r="DN300" s="409"/>
      <c r="DO300" s="409"/>
      <c r="DP300" s="409"/>
      <c r="DQ300" s="409"/>
      <c r="DR300" s="409"/>
      <c r="DS300" s="409"/>
      <c r="DT300" s="409"/>
      <c r="DU300" s="409"/>
      <c r="DV300" s="409"/>
      <c r="DW300" s="409"/>
      <c r="DX300" s="409"/>
      <c r="DY300" s="409"/>
      <c r="DZ300" s="409"/>
      <c r="EA300" s="409"/>
      <c r="EB300" s="409"/>
      <c r="EC300" s="409"/>
      <c r="ED300" s="409"/>
    </row>
    <row r="301" spans="1:13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>
        <f t="shared" si="109"/>
        <v>71</v>
      </c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  <c r="CA301" s="65"/>
      <c r="CB301" s="65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1"/>
      <c r="DF301" s="91"/>
      <c r="DG301" s="409"/>
      <c r="DH301" s="409"/>
      <c r="DI301" s="409"/>
      <c r="DJ301" s="409"/>
      <c r="DK301" s="409"/>
      <c r="DL301" s="409"/>
      <c r="DM301" s="409"/>
      <c r="DN301" s="409"/>
      <c r="DO301" s="409"/>
      <c r="DP301" s="409"/>
      <c r="DQ301" s="409"/>
      <c r="DR301" s="409"/>
      <c r="DS301" s="409"/>
      <c r="DT301" s="409"/>
      <c r="DU301" s="409"/>
      <c r="DV301" s="409"/>
      <c r="DW301" s="409"/>
      <c r="DX301" s="409"/>
      <c r="DY301" s="409"/>
      <c r="DZ301" s="409"/>
      <c r="EA301" s="409"/>
      <c r="EB301" s="409"/>
      <c r="EC301" s="409"/>
      <c r="ED301" s="409"/>
    </row>
    <row r="302" spans="1:13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>
        <f t="shared" si="109"/>
        <v>72</v>
      </c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65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1"/>
      <c r="DB302" s="91"/>
      <c r="DC302" s="91"/>
      <c r="DD302" s="91"/>
      <c r="DE302" s="91"/>
      <c r="DF302" s="91"/>
      <c r="DG302" s="409"/>
      <c r="DH302" s="409"/>
      <c r="DI302" s="409"/>
      <c r="DJ302" s="409"/>
      <c r="DK302" s="409"/>
      <c r="DL302" s="409"/>
      <c r="DM302" s="409"/>
      <c r="DN302" s="409"/>
      <c r="DO302" s="409"/>
      <c r="DP302" s="409"/>
      <c r="DQ302" s="409"/>
      <c r="DR302" s="409"/>
      <c r="DS302" s="409"/>
      <c r="DT302" s="409"/>
      <c r="DU302" s="409"/>
      <c r="DV302" s="409"/>
      <c r="DW302" s="409"/>
      <c r="DX302" s="409"/>
      <c r="DY302" s="409"/>
      <c r="DZ302" s="409"/>
      <c r="EA302" s="409"/>
      <c r="EB302" s="409"/>
      <c r="EC302" s="409"/>
      <c r="ED302" s="409"/>
    </row>
    <row r="303" spans="1:13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65"/>
      <c r="Q303" s="65"/>
      <c r="R303" s="65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>
        <f t="shared" si="109"/>
        <v>73</v>
      </c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65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1"/>
      <c r="DB303" s="91"/>
      <c r="DC303" s="91"/>
      <c r="DD303" s="91"/>
      <c r="DE303" s="91"/>
      <c r="DF303" s="91"/>
      <c r="DG303" s="409"/>
      <c r="DH303" s="409"/>
      <c r="DI303" s="409"/>
      <c r="DJ303" s="409"/>
      <c r="DK303" s="409"/>
      <c r="DL303" s="409"/>
      <c r="DM303" s="409"/>
      <c r="DN303" s="409"/>
      <c r="DO303" s="409"/>
      <c r="DP303" s="409"/>
      <c r="DQ303" s="409"/>
      <c r="DR303" s="409"/>
      <c r="DS303" s="409"/>
      <c r="DT303" s="409"/>
      <c r="DU303" s="409"/>
      <c r="DV303" s="409"/>
      <c r="DW303" s="409"/>
      <c r="DX303" s="409"/>
      <c r="DY303" s="409"/>
      <c r="DZ303" s="409"/>
      <c r="EA303" s="409"/>
      <c r="EB303" s="409"/>
      <c r="EC303" s="409"/>
      <c r="ED303" s="409"/>
    </row>
    <row r="304" spans="1:13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65"/>
      <c r="Q304" s="65"/>
      <c r="R304" s="65"/>
      <c r="S304" s="65"/>
      <c r="T304" s="65"/>
      <c r="U304" s="65"/>
      <c r="V304" s="65"/>
      <c r="W304" s="65"/>
      <c r="X304" s="65"/>
      <c r="Y304" s="65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>
        <f t="shared" si="109"/>
        <v>74</v>
      </c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  <c r="CA304" s="65"/>
      <c r="CB304" s="65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1"/>
      <c r="DB304" s="91"/>
      <c r="DC304" s="91"/>
      <c r="DD304" s="91"/>
      <c r="DE304" s="91"/>
      <c r="DF304" s="91"/>
      <c r="DG304" s="409"/>
      <c r="DH304" s="409"/>
      <c r="DI304" s="409"/>
      <c r="DJ304" s="409"/>
      <c r="DK304" s="409"/>
      <c r="DL304" s="409"/>
      <c r="DM304" s="409"/>
      <c r="DN304" s="409"/>
      <c r="DO304" s="409"/>
      <c r="DP304" s="409"/>
      <c r="DQ304" s="409"/>
      <c r="DR304" s="409"/>
      <c r="DS304" s="409"/>
      <c r="DT304" s="409"/>
      <c r="DU304" s="409"/>
      <c r="DV304" s="409"/>
      <c r="DW304" s="409"/>
      <c r="DX304" s="409"/>
      <c r="DY304" s="409"/>
      <c r="DZ304" s="409"/>
      <c r="EA304" s="409"/>
      <c r="EB304" s="409"/>
      <c r="EC304" s="409"/>
      <c r="ED304" s="409"/>
    </row>
    <row r="305" spans="1:13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65"/>
      <c r="Q305" s="65"/>
      <c r="R305" s="65"/>
      <c r="S305" s="65"/>
      <c r="T305" s="65"/>
      <c r="U305" s="65"/>
      <c r="V305" s="65"/>
      <c r="W305" s="65"/>
      <c r="X305" s="65"/>
      <c r="Y305" s="65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>
        <f t="shared" si="109"/>
        <v>75</v>
      </c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  <c r="CA305" s="65"/>
      <c r="CB305" s="65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1"/>
      <c r="DF305" s="91"/>
      <c r="DG305" s="409"/>
      <c r="DH305" s="409"/>
      <c r="DI305" s="409"/>
      <c r="DJ305" s="409"/>
      <c r="DK305" s="409"/>
      <c r="DL305" s="409"/>
      <c r="DM305" s="409"/>
      <c r="DN305" s="409"/>
      <c r="DO305" s="409"/>
      <c r="DP305" s="409"/>
      <c r="DQ305" s="409"/>
      <c r="DR305" s="409"/>
      <c r="DS305" s="409"/>
      <c r="DT305" s="409"/>
      <c r="DU305" s="409"/>
      <c r="DV305" s="409"/>
      <c r="DW305" s="409"/>
      <c r="DX305" s="409"/>
      <c r="DY305" s="409"/>
      <c r="DZ305" s="409"/>
      <c r="EA305" s="409"/>
      <c r="EB305" s="409"/>
      <c r="EC305" s="409"/>
      <c r="ED305" s="409"/>
    </row>
    <row r="306" spans="1:13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65"/>
      <c r="Q306" s="65"/>
      <c r="R306" s="65"/>
      <c r="S306" s="65"/>
      <c r="T306" s="65"/>
      <c r="U306" s="65"/>
      <c r="V306" s="65"/>
      <c r="W306" s="65"/>
      <c r="X306" s="65"/>
      <c r="Y306" s="65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>
        <f t="shared" si="109"/>
        <v>76</v>
      </c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1"/>
      <c r="DF306" s="91"/>
      <c r="DG306" s="409"/>
      <c r="DH306" s="409"/>
      <c r="DI306" s="409"/>
      <c r="DJ306" s="409"/>
      <c r="DK306" s="409"/>
      <c r="DL306" s="409"/>
      <c r="DM306" s="409"/>
      <c r="DN306" s="409"/>
      <c r="DO306" s="409"/>
      <c r="DP306" s="409"/>
      <c r="DQ306" s="409"/>
      <c r="DR306" s="409"/>
      <c r="DS306" s="409"/>
      <c r="DT306" s="409"/>
      <c r="DU306" s="409"/>
      <c r="DV306" s="409"/>
      <c r="DW306" s="409"/>
      <c r="DX306" s="409"/>
      <c r="DY306" s="409"/>
      <c r="DZ306" s="409"/>
      <c r="EA306" s="409"/>
      <c r="EB306" s="409"/>
      <c r="EC306" s="409"/>
      <c r="ED306" s="409"/>
    </row>
    <row r="307" spans="1:13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65"/>
      <c r="Q307" s="65"/>
      <c r="R307" s="65"/>
      <c r="S307" s="65"/>
      <c r="T307" s="65"/>
      <c r="U307" s="65"/>
      <c r="V307" s="65"/>
      <c r="W307" s="65"/>
      <c r="X307" s="65"/>
      <c r="Y307" s="65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>
        <f t="shared" si="109"/>
        <v>77</v>
      </c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1"/>
      <c r="DB307" s="91"/>
      <c r="DC307" s="91"/>
      <c r="DD307" s="91"/>
      <c r="DE307" s="91"/>
      <c r="DF307" s="91"/>
      <c r="DG307" s="409"/>
      <c r="DH307" s="409"/>
      <c r="DI307" s="409"/>
      <c r="DJ307" s="409"/>
      <c r="DK307" s="409"/>
      <c r="DL307" s="409"/>
      <c r="DM307" s="409"/>
      <c r="DN307" s="409"/>
      <c r="DO307" s="409"/>
      <c r="DP307" s="409"/>
      <c r="DQ307" s="409"/>
      <c r="DR307" s="409"/>
      <c r="DS307" s="409"/>
      <c r="DT307" s="409"/>
      <c r="DU307" s="409"/>
      <c r="DV307" s="409"/>
      <c r="DW307" s="409"/>
      <c r="DX307" s="409"/>
      <c r="DY307" s="409"/>
      <c r="DZ307" s="409"/>
      <c r="EA307" s="409"/>
      <c r="EB307" s="409"/>
      <c r="EC307" s="409"/>
      <c r="ED307" s="409"/>
    </row>
    <row r="308" spans="1:13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65"/>
      <c r="Q308" s="65"/>
      <c r="R308" s="65"/>
      <c r="S308" s="65"/>
      <c r="T308" s="65"/>
      <c r="U308" s="65"/>
      <c r="V308" s="65"/>
      <c r="W308" s="65"/>
      <c r="X308" s="65"/>
      <c r="Y308" s="65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>
        <f t="shared" ref="BG308:BG350" si="110">SUM(BG307+1)</f>
        <v>78</v>
      </c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65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1"/>
      <c r="DB308" s="91"/>
      <c r="DC308" s="91"/>
      <c r="DD308" s="91"/>
      <c r="DE308" s="91"/>
      <c r="DF308" s="91"/>
      <c r="DG308" s="409"/>
      <c r="DH308" s="409"/>
      <c r="DI308" s="409"/>
      <c r="DJ308" s="409"/>
      <c r="DK308" s="409"/>
      <c r="DL308" s="409"/>
      <c r="DM308" s="409"/>
      <c r="DN308" s="409"/>
      <c r="DO308" s="409"/>
      <c r="DP308" s="409"/>
      <c r="DQ308" s="409"/>
      <c r="DR308" s="409"/>
      <c r="DS308" s="409"/>
      <c r="DT308" s="409"/>
      <c r="DU308" s="409"/>
      <c r="DV308" s="409"/>
      <c r="DW308" s="409"/>
      <c r="DX308" s="409"/>
      <c r="DY308" s="409"/>
      <c r="DZ308" s="409"/>
      <c r="EA308" s="409"/>
      <c r="EB308" s="409"/>
      <c r="EC308" s="409"/>
      <c r="ED308" s="409"/>
    </row>
    <row r="309" spans="1:13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65"/>
      <c r="Q309" s="65"/>
      <c r="R309" s="65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>
        <f t="shared" si="110"/>
        <v>79</v>
      </c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  <c r="CA309" s="65"/>
      <c r="CB309" s="65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1"/>
      <c r="DB309" s="91"/>
      <c r="DC309" s="91"/>
      <c r="DD309" s="91"/>
      <c r="DE309" s="91"/>
      <c r="DF309" s="91"/>
      <c r="DG309" s="409"/>
      <c r="DH309" s="409"/>
      <c r="DI309" s="409"/>
      <c r="DJ309" s="409"/>
      <c r="DK309" s="409"/>
      <c r="DL309" s="409"/>
      <c r="DM309" s="409"/>
      <c r="DN309" s="409"/>
      <c r="DO309" s="409"/>
      <c r="DP309" s="409"/>
      <c r="DQ309" s="409"/>
      <c r="DR309" s="409"/>
      <c r="DS309" s="409"/>
      <c r="DT309" s="409"/>
      <c r="DU309" s="409"/>
      <c r="DV309" s="409"/>
      <c r="DW309" s="409"/>
      <c r="DX309" s="409"/>
      <c r="DY309" s="409"/>
      <c r="DZ309" s="409"/>
      <c r="EA309" s="409"/>
      <c r="EB309" s="409"/>
      <c r="EC309" s="409"/>
      <c r="ED309" s="409"/>
    </row>
    <row r="310" spans="1:13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65"/>
      <c r="Q310" s="65"/>
      <c r="R310" s="65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>
        <f t="shared" si="110"/>
        <v>80</v>
      </c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  <c r="CA310" s="65"/>
      <c r="CB310" s="65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1"/>
      <c r="DB310" s="91"/>
      <c r="DC310" s="91"/>
      <c r="DD310" s="91"/>
      <c r="DE310" s="91"/>
      <c r="DF310" s="91"/>
      <c r="DG310" s="409"/>
      <c r="DH310" s="409"/>
      <c r="DI310" s="409"/>
      <c r="DJ310" s="409"/>
      <c r="DK310" s="409"/>
      <c r="DL310" s="409"/>
      <c r="DM310" s="409"/>
      <c r="DN310" s="409"/>
      <c r="DO310" s="409"/>
      <c r="DP310" s="409"/>
      <c r="DQ310" s="409"/>
      <c r="DR310" s="409"/>
      <c r="DS310" s="409"/>
      <c r="DT310" s="409"/>
      <c r="DU310" s="409"/>
      <c r="DV310" s="409"/>
      <c r="DW310" s="409"/>
      <c r="DX310" s="409"/>
      <c r="DY310" s="409"/>
      <c r="DZ310" s="409"/>
      <c r="EA310" s="409"/>
      <c r="EB310" s="409"/>
      <c r="EC310" s="409"/>
      <c r="ED310" s="409"/>
    </row>
    <row r="311" spans="1:13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65"/>
      <c r="Q311" s="65"/>
      <c r="R311" s="65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>
        <f t="shared" si="110"/>
        <v>81</v>
      </c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1"/>
      <c r="DB311" s="91"/>
      <c r="DC311" s="91"/>
      <c r="DD311" s="91"/>
      <c r="DE311" s="91"/>
      <c r="DF311" s="91"/>
      <c r="DG311" s="409"/>
      <c r="DH311" s="409"/>
      <c r="DI311" s="409"/>
      <c r="DJ311" s="409"/>
      <c r="DK311" s="409"/>
      <c r="DL311" s="409"/>
      <c r="DM311" s="409"/>
      <c r="DN311" s="409"/>
      <c r="DO311" s="409"/>
      <c r="DP311" s="409"/>
      <c r="DQ311" s="409"/>
      <c r="DR311" s="409"/>
      <c r="DS311" s="409"/>
      <c r="DT311" s="409"/>
      <c r="DU311" s="409"/>
      <c r="DV311" s="409"/>
      <c r="DW311" s="409"/>
      <c r="DX311" s="409"/>
      <c r="DY311" s="409"/>
      <c r="DZ311" s="409"/>
      <c r="EA311" s="409"/>
      <c r="EB311" s="409"/>
      <c r="EC311" s="409"/>
      <c r="ED311" s="409"/>
    </row>
    <row r="312" spans="1:13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65"/>
      <c r="Q312" s="65"/>
      <c r="R312" s="65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>
        <f t="shared" si="110"/>
        <v>82</v>
      </c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65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1"/>
      <c r="DB312" s="91"/>
      <c r="DC312" s="91"/>
      <c r="DD312" s="91"/>
      <c r="DE312" s="91"/>
      <c r="DF312" s="91"/>
      <c r="DG312" s="409"/>
      <c r="DH312" s="409"/>
      <c r="DI312" s="409"/>
      <c r="DJ312" s="409"/>
      <c r="DK312" s="409"/>
      <c r="DL312" s="409"/>
      <c r="DM312" s="409"/>
      <c r="DN312" s="409"/>
      <c r="DO312" s="409"/>
      <c r="DP312" s="409"/>
      <c r="DQ312" s="409"/>
      <c r="DR312" s="409"/>
      <c r="DS312" s="409"/>
      <c r="DT312" s="409"/>
      <c r="DU312" s="409"/>
      <c r="DV312" s="409"/>
      <c r="DW312" s="409"/>
      <c r="DX312" s="409"/>
      <c r="DY312" s="409"/>
      <c r="DZ312" s="409"/>
      <c r="EA312" s="409"/>
      <c r="EB312" s="409"/>
      <c r="EC312" s="409"/>
      <c r="ED312" s="409"/>
    </row>
    <row r="313" spans="1:13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65"/>
      <c r="Q313" s="65"/>
      <c r="R313" s="65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>
        <f t="shared" si="110"/>
        <v>83</v>
      </c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1"/>
      <c r="DB313" s="91"/>
      <c r="DC313" s="91"/>
      <c r="DD313" s="91"/>
      <c r="DE313" s="91"/>
      <c r="DF313" s="91"/>
      <c r="DG313" s="409"/>
      <c r="DH313" s="409"/>
      <c r="DI313" s="409"/>
      <c r="DJ313" s="409"/>
      <c r="DK313" s="409"/>
      <c r="DL313" s="409"/>
      <c r="DM313" s="409"/>
      <c r="DN313" s="409"/>
      <c r="DO313" s="409"/>
      <c r="DP313" s="409"/>
      <c r="DQ313" s="409"/>
      <c r="DR313" s="409"/>
      <c r="DS313" s="409"/>
      <c r="DT313" s="409"/>
      <c r="DU313" s="409"/>
      <c r="DV313" s="409"/>
      <c r="DW313" s="409"/>
      <c r="DX313" s="409"/>
      <c r="DY313" s="409"/>
      <c r="DZ313" s="409"/>
      <c r="EA313" s="409"/>
      <c r="EB313" s="409"/>
      <c r="EC313" s="409"/>
      <c r="ED313" s="409"/>
    </row>
    <row r="314" spans="1:13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65"/>
      <c r="Q314" s="65"/>
      <c r="R314" s="65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>
        <f t="shared" si="110"/>
        <v>84</v>
      </c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1"/>
      <c r="DB314" s="91"/>
      <c r="DC314" s="91"/>
      <c r="DD314" s="91"/>
      <c r="DE314" s="91"/>
      <c r="DF314" s="91"/>
      <c r="DG314" s="409"/>
      <c r="DH314" s="409"/>
      <c r="DI314" s="409"/>
      <c r="DJ314" s="409"/>
      <c r="DK314" s="409"/>
      <c r="DL314" s="409"/>
      <c r="DM314" s="409"/>
      <c r="DN314" s="409"/>
      <c r="DO314" s="409"/>
      <c r="DP314" s="409"/>
      <c r="DQ314" s="409"/>
      <c r="DR314" s="409"/>
      <c r="DS314" s="409"/>
      <c r="DT314" s="409"/>
      <c r="DU314" s="409"/>
      <c r="DV314" s="409"/>
      <c r="DW314" s="409"/>
      <c r="DX314" s="409"/>
      <c r="DY314" s="409"/>
      <c r="DZ314" s="409"/>
      <c r="EA314" s="409"/>
      <c r="EB314" s="409"/>
      <c r="EC314" s="409"/>
      <c r="ED314" s="409"/>
    </row>
    <row r="315" spans="1:13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65"/>
      <c r="Q315" s="65"/>
      <c r="R315" s="65"/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>
        <f t="shared" si="110"/>
        <v>85</v>
      </c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1"/>
      <c r="DF315" s="91"/>
      <c r="DG315" s="409"/>
      <c r="DH315" s="409"/>
      <c r="DI315" s="409"/>
      <c r="DJ315" s="409"/>
      <c r="DK315" s="409"/>
      <c r="DL315" s="409"/>
      <c r="DM315" s="409"/>
      <c r="DN315" s="409"/>
      <c r="DO315" s="409"/>
      <c r="DP315" s="409"/>
      <c r="DQ315" s="409"/>
      <c r="DR315" s="409"/>
      <c r="DS315" s="409"/>
      <c r="DT315" s="409"/>
      <c r="DU315" s="409"/>
      <c r="DV315" s="409"/>
      <c r="DW315" s="409"/>
      <c r="DX315" s="409"/>
      <c r="DY315" s="409"/>
      <c r="DZ315" s="409"/>
      <c r="EA315" s="409"/>
      <c r="EB315" s="409"/>
      <c r="EC315" s="409"/>
      <c r="ED315" s="409"/>
    </row>
    <row r="316" spans="1:13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65"/>
      <c r="Q316" s="65"/>
      <c r="R316" s="65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>
        <f t="shared" si="110"/>
        <v>86</v>
      </c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1"/>
      <c r="DB316" s="91"/>
      <c r="DC316" s="91"/>
      <c r="DD316" s="91"/>
      <c r="DE316" s="91"/>
      <c r="DF316" s="91"/>
      <c r="DG316" s="409"/>
      <c r="DH316" s="409"/>
      <c r="DI316" s="409"/>
      <c r="DJ316" s="409"/>
      <c r="DK316" s="409"/>
      <c r="DL316" s="409"/>
      <c r="DM316" s="409"/>
      <c r="DN316" s="409"/>
      <c r="DO316" s="409"/>
      <c r="DP316" s="409"/>
      <c r="DQ316" s="409"/>
      <c r="DR316" s="409"/>
      <c r="DS316" s="409"/>
      <c r="DT316" s="409"/>
      <c r="DU316" s="409"/>
      <c r="DV316" s="409"/>
      <c r="DW316" s="409"/>
      <c r="DX316" s="409"/>
      <c r="DY316" s="409"/>
      <c r="DZ316" s="409"/>
      <c r="EA316" s="409"/>
      <c r="EB316" s="409"/>
      <c r="EC316" s="409"/>
      <c r="ED316" s="409"/>
    </row>
    <row r="317" spans="1:13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65"/>
      <c r="Q317" s="65"/>
      <c r="R317" s="65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>
        <f t="shared" si="110"/>
        <v>87</v>
      </c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1"/>
      <c r="DF317" s="91"/>
      <c r="DG317" s="409"/>
      <c r="DH317" s="409"/>
      <c r="DI317" s="409"/>
      <c r="DJ317" s="409"/>
      <c r="DK317" s="409"/>
      <c r="DL317" s="409"/>
      <c r="DM317" s="409"/>
      <c r="DN317" s="409"/>
      <c r="DO317" s="409"/>
      <c r="DP317" s="409"/>
      <c r="DQ317" s="409"/>
      <c r="DR317" s="409"/>
      <c r="DS317" s="409"/>
      <c r="DT317" s="409"/>
      <c r="DU317" s="409"/>
      <c r="DV317" s="409"/>
      <c r="DW317" s="409"/>
      <c r="DX317" s="409"/>
      <c r="DY317" s="409"/>
      <c r="DZ317" s="409"/>
      <c r="EA317" s="409"/>
      <c r="EB317" s="409"/>
      <c r="EC317" s="409"/>
      <c r="ED317" s="409"/>
    </row>
    <row r="318" spans="1:13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65"/>
      <c r="Q318" s="65"/>
      <c r="R318" s="65"/>
      <c r="S318" s="65"/>
      <c r="T318" s="65"/>
      <c r="U318" s="65"/>
      <c r="V318" s="65"/>
      <c r="W318" s="65"/>
      <c r="X318" s="65"/>
      <c r="Y318" s="65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>
        <f t="shared" si="110"/>
        <v>88</v>
      </c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  <c r="CA318" s="65"/>
      <c r="CB318" s="65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1"/>
      <c r="DB318" s="91"/>
      <c r="DC318" s="91"/>
      <c r="DD318" s="91"/>
      <c r="DE318" s="91"/>
      <c r="DF318" s="91"/>
      <c r="DG318" s="409"/>
      <c r="DH318" s="409"/>
      <c r="DI318" s="409"/>
      <c r="DJ318" s="409"/>
      <c r="DK318" s="409"/>
      <c r="DL318" s="409"/>
      <c r="DM318" s="409"/>
      <c r="DN318" s="409"/>
      <c r="DO318" s="409"/>
      <c r="DP318" s="409"/>
      <c r="DQ318" s="409"/>
      <c r="DR318" s="409"/>
      <c r="DS318" s="409"/>
      <c r="DT318" s="409"/>
      <c r="DU318" s="409"/>
      <c r="DV318" s="409"/>
      <c r="DW318" s="409"/>
      <c r="DX318" s="409"/>
      <c r="DY318" s="409"/>
      <c r="DZ318" s="409"/>
      <c r="EA318" s="409"/>
      <c r="EB318" s="409"/>
      <c r="EC318" s="409"/>
      <c r="ED318" s="409"/>
    </row>
    <row r="319" spans="1:13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65"/>
      <c r="Q319" s="65"/>
      <c r="R319" s="65"/>
      <c r="S319" s="65"/>
      <c r="T319" s="65"/>
      <c r="U319" s="65"/>
      <c r="V319" s="65"/>
      <c r="W319" s="65"/>
      <c r="X319" s="65"/>
      <c r="Y319" s="65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>
        <f t="shared" si="110"/>
        <v>89</v>
      </c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  <c r="CA319" s="65"/>
      <c r="CB319" s="65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1"/>
      <c r="DF319" s="91"/>
      <c r="DG319" s="409"/>
      <c r="DH319" s="409"/>
      <c r="DI319" s="409"/>
      <c r="DJ319" s="409"/>
      <c r="DK319" s="409"/>
      <c r="DL319" s="409"/>
      <c r="DM319" s="409"/>
      <c r="DN319" s="409"/>
      <c r="DO319" s="409"/>
      <c r="DP319" s="409"/>
      <c r="DQ319" s="409"/>
      <c r="DR319" s="409"/>
      <c r="DS319" s="409"/>
      <c r="DT319" s="409"/>
      <c r="DU319" s="409"/>
      <c r="DV319" s="409"/>
      <c r="DW319" s="409"/>
      <c r="DX319" s="409"/>
      <c r="DY319" s="409"/>
      <c r="DZ319" s="409"/>
      <c r="EA319" s="409"/>
      <c r="EB319" s="409"/>
      <c r="EC319" s="409"/>
      <c r="ED319" s="409"/>
    </row>
    <row r="320" spans="1:13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65"/>
      <c r="Q320" s="65"/>
      <c r="R320" s="65"/>
      <c r="S320" s="65"/>
      <c r="T320" s="65"/>
      <c r="U320" s="65"/>
      <c r="V320" s="65"/>
      <c r="W320" s="65"/>
      <c r="X320" s="65"/>
      <c r="Y320" s="65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>
        <f t="shared" si="110"/>
        <v>90</v>
      </c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65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1"/>
      <c r="DB320" s="91"/>
      <c r="DC320" s="91"/>
      <c r="DD320" s="91"/>
      <c r="DE320" s="91"/>
      <c r="DF320" s="91"/>
      <c r="DG320" s="409"/>
      <c r="DH320" s="409"/>
      <c r="DI320" s="409"/>
      <c r="DJ320" s="409"/>
      <c r="DK320" s="409"/>
      <c r="DL320" s="409"/>
      <c r="DM320" s="409"/>
      <c r="DN320" s="409"/>
      <c r="DO320" s="409"/>
      <c r="DP320" s="409"/>
      <c r="DQ320" s="409"/>
      <c r="DR320" s="409"/>
      <c r="DS320" s="409"/>
      <c r="DT320" s="409"/>
      <c r="DU320" s="409"/>
      <c r="DV320" s="409"/>
      <c r="DW320" s="409"/>
      <c r="DX320" s="409"/>
      <c r="DY320" s="409"/>
      <c r="DZ320" s="409"/>
      <c r="EA320" s="409"/>
      <c r="EB320" s="409"/>
      <c r="EC320" s="409"/>
      <c r="ED320" s="409"/>
    </row>
    <row r="321" spans="1:13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65"/>
      <c r="Q321" s="65"/>
      <c r="R321" s="65"/>
      <c r="S321" s="65"/>
      <c r="T321" s="65"/>
      <c r="U321" s="65"/>
      <c r="V321" s="65"/>
      <c r="W321" s="65"/>
      <c r="X321" s="65"/>
      <c r="Y321" s="65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>
        <f t="shared" si="110"/>
        <v>91</v>
      </c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65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1"/>
      <c r="DB321" s="91"/>
      <c r="DC321" s="91"/>
      <c r="DD321" s="91"/>
      <c r="DE321" s="91"/>
      <c r="DF321" s="91"/>
      <c r="DG321" s="409"/>
      <c r="DH321" s="409"/>
      <c r="DI321" s="409"/>
      <c r="DJ321" s="409"/>
      <c r="DK321" s="409"/>
      <c r="DL321" s="409"/>
      <c r="DM321" s="409"/>
      <c r="DN321" s="409"/>
      <c r="DO321" s="409"/>
      <c r="DP321" s="409"/>
      <c r="DQ321" s="409"/>
      <c r="DR321" s="409"/>
      <c r="DS321" s="409"/>
      <c r="DT321" s="409"/>
      <c r="DU321" s="409"/>
      <c r="DV321" s="409"/>
      <c r="DW321" s="409"/>
      <c r="DX321" s="409"/>
      <c r="DY321" s="409"/>
      <c r="DZ321" s="409"/>
      <c r="EA321" s="409"/>
      <c r="EB321" s="409"/>
      <c r="EC321" s="409"/>
      <c r="ED321" s="409"/>
    </row>
    <row r="322" spans="1:13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65"/>
      <c r="Q322" s="65"/>
      <c r="R322" s="65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>
        <f t="shared" si="110"/>
        <v>92</v>
      </c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1"/>
      <c r="DB322" s="91"/>
      <c r="DC322" s="91"/>
      <c r="DD322" s="91"/>
      <c r="DE322" s="91"/>
      <c r="DF322" s="91"/>
      <c r="DG322" s="409"/>
      <c r="DH322" s="409"/>
      <c r="DI322" s="409"/>
      <c r="DJ322" s="409"/>
      <c r="DK322" s="409"/>
      <c r="DL322" s="409"/>
      <c r="DM322" s="409"/>
      <c r="DN322" s="409"/>
      <c r="DO322" s="409"/>
      <c r="DP322" s="409"/>
      <c r="DQ322" s="409"/>
      <c r="DR322" s="409"/>
      <c r="DS322" s="409"/>
      <c r="DT322" s="409"/>
      <c r="DU322" s="409"/>
      <c r="DV322" s="409"/>
      <c r="DW322" s="409"/>
      <c r="DX322" s="409"/>
      <c r="DY322" s="409"/>
      <c r="DZ322" s="409"/>
      <c r="EA322" s="409"/>
      <c r="EB322" s="409"/>
      <c r="EC322" s="409"/>
      <c r="ED322" s="409"/>
    </row>
    <row r="323" spans="1:13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65"/>
      <c r="Q323" s="65"/>
      <c r="R323" s="65"/>
      <c r="S323" s="65"/>
      <c r="T323" s="65"/>
      <c r="U323" s="65"/>
      <c r="V323" s="65"/>
      <c r="W323" s="65"/>
      <c r="X323" s="65"/>
      <c r="Y323" s="65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>
        <f t="shared" si="110"/>
        <v>93</v>
      </c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65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1"/>
      <c r="DF323" s="91"/>
      <c r="DG323" s="409"/>
      <c r="DH323" s="409"/>
      <c r="DI323" s="409"/>
      <c r="DJ323" s="409"/>
      <c r="DK323" s="409"/>
      <c r="DL323" s="409"/>
      <c r="DM323" s="409"/>
      <c r="DN323" s="409"/>
      <c r="DO323" s="409"/>
      <c r="DP323" s="409"/>
      <c r="DQ323" s="409"/>
      <c r="DR323" s="409"/>
      <c r="DS323" s="409"/>
      <c r="DT323" s="409"/>
      <c r="DU323" s="409"/>
      <c r="DV323" s="409"/>
      <c r="DW323" s="409"/>
      <c r="DX323" s="409"/>
      <c r="DY323" s="409"/>
      <c r="DZ323" s="409"/>
      <c r="EA323" s="409"/>
      <c r="EB323" s="409"/>
      <c r="EC323" s="409"/>
      <c r="ED323" s="409"/>
    </row>
    <row r="324" spans="1:13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65"/>
      <c r="Q324" s="65"/>
      <c r="R324" s="65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>
        <f t="shared" si="110"/>
        <v>94</v>
      </c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65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1"/>
      <c r="DB324" s="91"/>
      <c r="DC324" s="91"/>
      <c r="DD324" s="91"/>
      <c r="DE324" s="91"/>
      <c r="DF324" s="91"/>
      <c r="DG324" s="409"/>
      <c r="DH324" s="409"/>
      <c r="DI324" s="409"/>
      <c r="DJ324" s="409"/>
      <c r="DK324" s="409"/>
      <c r="DL324" s="409"/>
      <c r="DM324" s="409"/>
      <c r="DN324" s="409"/>
      <c r="DO324" s="409"/>
      <c r="DP324" s="409"/>
      <c r="DQ324" s="409"/>
      <c r="DR324" s="409"/>
      <c r="DS324" s="409"/>
      <c r="DT324" s="409"/>
      <c r="DU324" s="409"/>
      <c r="DV324" s="409"/>
      <c r="DW324" s="409"/>
      <c r="DX324" s="409"/>
      <c r="DY324" s="409"/>
      <c r="DZ324" s="409"/>
      <c r="EA324" s="409"/>
      <c r="EB324" s="409"/>
      <c r="EC324" s="409"/>
      <c r="ED324" s="409"/>
    </row>
    <row r="325" spans="1:13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>
        <f t="shared" si="110"/>
        <v>95</v>
      </c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1"/>
      <c r="DB325" s="91"/>
      <c r="DC325" s="91"/>
      <c r="DD325" s="91"/>
      <c r="DE325" s="91"/>
      <c r="DF325" s="91"/>
      <c r="DG325" s="409"/>
      <c r="DH325" s="409"/>
      <c r="DI325" s="409"/>
      <c r="DJ325" s="409"/>
      <c r="DK325" s="409"/>
      <c r="DL325" s="409"/>
      <c r="DM325" s="409"/>
      <c r="DN325" s="409"/>
      <c r="DO325" s="409"/>
      <c r="DP325" s="409"/>
      <c r="DQ325" s="409"/>
      <c r="DR325" s="409"/>
      <c r="DS325" s="409"/>
      <c r="DT325" s="409"/>
      <c r="DU325" s="409"/>
      <c r="DV325" s="409"/>
      <c r="DW325" s="409"/>
      <c r="DX325" s="409"/>
      <c r="DY325" s="409"/>
      <c r="DZ325" s="409"/>
      <c r="EA325" s="409"/>
      <c r="EB325" s="409"/>
      <c r="EC325" s="409"/>
      <c r="ED325" s="409"/>
    </row>
    <row r="326" spans="1:13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65"/>
      <c r="Q326" s="65"/>
      <c r="R326" s="65"/>
      <c r="S326" s="65"/>
      <c r="T326" s="65"/>
      <c r="U326" s="65"/>
      <c r="V326" s="65"/>
      <c r="W326" s="65"/>
      <c r="X326" s="65"/>
      <c r="Y326" s="65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>
        <f t="shared" si="110"/>
        <v>96</v>
      </c>
      <c r="BH326" s="65"/>
      <c r="BI326" s="65"/>
      <c r="BJ326" s="65"/>
      <c r="BK326" s="65"/>
      <c r="BL326" s="65"/>
      <c r="BM326" s="65"/>
      <c r="BN326" s="65"/>
      <c r="BO326" s="65"/>
      <c r="BP326" s="65"/>
      <c r="BQ326" s="65"/>
      <c r="BR326" s="65"/>
      <c r="BS326" s="65"/>
      <c r="BT326" s="65"/>
      <c r="BU326" s="65"/>
      <c r="BV326" s="65"/>
      <c r="BW326" s="65"/>
      <c r="BX326" s="65"/>
      <c r="BY326" s="65"/>
      <c r="BZ326" s="65"/>
      <c r="CA326" s="65"/>
      <c r="CB326" s="65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1"/>
      <c r="DB326" s="91"/>
      <c r="DC326" s="91"/>
      <c r="DD326" s="91"/>
      <c r="DE326" s="91"/>
      <c r="DF326" s="91"/>
      <c r="DG326" s="409"/>
      <c r="DH326" s="409"/>
      <c r="DI326" s="409"/>
      <c r="DJ326" s="409"/>
      <c r="DK326" s="409"/>
      <c r="DL326" s="409"/>
      <c r="DM326" s="409"/>
      <c r="DN326" s="409"/>
      <c r="DO326" s="409"/>
      <c r="DP326" s="409"/>
      <c r="DQ326" s="409"/>
      <c r="DR326" s="409"/>
      <c r="DS326" s="409"/>
      <c r="DT326" s="409"/>
      <c r="DU326" s="409"/>
      <c r="DV326" s="409"/>
      <c r="DW326" s="409"/>
      <c r="DX326" s="409"/>
      <c r="DY326" s="409"/>
      <c r="DZ326" s="409"/>
      <c r="EA326" s="409"/>
      <c r="EB326" s="409"/>
      <c r="EC326" s="409"/>
      <c r="ED326" s="409"/>
    </row>
    <row r="327" spans="1:13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65"/>
      <c r="Q327" s="65"/>
      <c r="R327" s="65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>
        <f t="shared" si="110"/>
        <v>97</v>
      </c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65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1"/>
      <c r="DB327" s="91"/>
      <c r="DC327" s="91"/>
      <c r="DD327" s="91"/>
      <c r="DE327" s="91"/>
      <c r="DF327" s="91"/>
      <c r="DG327" s="409"/>
      <c r="DH327" s="409"/>
      <c r="DI327" s="409"/>
      <c r="DJ327" s="409"/>
      <c r="DK327" s="409"/>
      <c r="DL327" s="409"/>
      <c r="DM327" s="409"/>
      <c r="DN327" s="409"/>
      <c r="DO327" s="409"/>
      <c r="DP327" s="409"/>
      <c r="DQ327" s="409"/>
      <c r="DR327" s="409"/>
      <c r="DS327" s="409"/>
      <c r="DT327" s="409"/>
      <c r="DU327" s="409"/>
      <c r="DV327" s="409"/>
      <c r="DW327" s="409"/>
      <c r="DX327" s="409"/>
      <c r="DY327" s="409"/>
      <c r="DZ327" s="409"/>
      <c r="EA327" s="409"/>
      <c r="EB327" s="409"/>
      <c r="EC327" s="409"/>
      <c r="ED327" s="409"/>
    </row>
    <row r="328" spans="1:13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65"/>
      <c r="Q328" s="65"/>
      <c r="R328" s="65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>
        <f t="shared" si="110"/>
        <v>98</v>
      </c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1"/>
      <c r="DF328" s="91"/>
      <c r="DG328" s="409"/>
      <c r="DH328" s="409"/>
      <c r="DI328" s="409"/>
      <c r="DJ328" s="409"/>
      <c r="DK328" s="409"/>
      <c r="DL328" s="409"/>
      <c r="DM328" s="409"/>
      <c r="DN328" s="409"/>
      <c r="DO328" s="409"/>
      <c r="DP328" s="409"/>
      <c r="DQ328" s="409"/>
      <c r="DR328" s="409"/>
      <c r="DS328" s="409"/>
      <c r="DT328" s="409"/>
      <c r="DU328" s="409"/>
      <c r="DV328" s="409"/>
      <c r="DW328" s="409"/>
      <c r="DX328" s="409"/>
      <c r="DY328" s="409"/>
      <c r="DZ328" s="409"/>
      <c r="EA328" s="409"/>
      <c r="EB328" s="409"/>
      <c r="EC328" s="409"/>
      <c r="ED328" s="409"/>
    </row>
    <row r="329" spans="1:13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65"/>
      <c r="Q329" s="65"/>
      <c r="R329" s="65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>
        <f t="shared" si="110"/>
        <v>99</v>
      </c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1"/>
      <c r="DB329" s="91"/>
      <c r="DC329" s="91"/>
      <c r="DD329" s="91"/>
      <c r="DE329" s="91"/>
      <c r="DF329" s="91"/>
      <c r="DG329" s="409"/>
      <c r="DH329" s="409"/>
      <c r="DI329" s="409"/>
      <c r="DJ329" s="409"/>
      <c r="DK329" s="409"/>
      <c r="DL329" s="409"/>
      <c r="DM329" s="409"/>
      <c r="DN329" s="409"/>
      <c r="DO329" s="409"/>
      <c r="DP329" s="409"/>
      <c r="DQ329" s="409"/>
      <c r="DR329" s="409"/>
      <c r="DS329" s="409"/>
      <c r="DT329" s="409"/>
      <c r="DU329" s="409"/>
      <c r="DV329" s="409"/>
      <c r="DW329" s="409"/>
      <c r="DX329" s="409"/>
      <c r="DY329" s="409"/>
      <c r="DZ329" s="409"/>
      <c r="EA329" s="409"/>
      <c r="EB329" s="409"/>
      <c r="EC329" s="409"/>
      <c r="ED329" s="409"/>
    </row>
    <row r="330" spans="1:13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65"/>
      <c r="Q330" s="65"/>
      <c r="R330" s="65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>
        <f t="shared" si="110"/>
        <v>100</v>
      </c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65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1"/>
      <c r="DB330" s="91"/>
      <c r="DC330" s="91"/>
      <c r="DD330" s="91"/>
      <c r="DE330" s="91"/>
      <c r="DF330" s="91"/>
      <c r="DG330" s="409"/>
      <c r="DH330" s="409"/>
      <c r="DI330" s="409"/>
      <c r="DJ330" s="409"/>
      <c r="DK330" s="409"/>
      <c r="DL330" s="409"/>
      <c r="DM330" s="409"/>
      <c r="DN330" s="409"/>
      <c r="DO330" s="409"/>
      <c r="DP330" s="409"/>
      <c r="DQ330" s="409"/>
      <c r="DR330" s="409"/>
      <c r="DS330" s="409"/>
      <c r="DT330" s="409"/>
      <c r="DU330" s="409"/>
      <c r="DV330" s="409"/>
      <c r="DW330" s="409"/>
      <c r="DX330" s="409"/>
      <c r="DY330" s="409"/>
      <c r="DZ330" s="409"/>
      <c r="EA330" s="409"/>
      <c r="EB330" s="409"/>
      <c r="EC330" s="409"/>
      <c r="ED330" s="409"/>
    </row>
    <row r="331" spans="1:13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65"/>
      <c r="Q331" s="65"/>
      <c r="R331" s="65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>
        <f t="shared" si="110"/>
        <v>101</v>
      </c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  <c r="CA331" s="65"/>
      <c r="CB331" s="65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1"/>
      <c r="DB331" s="91"/>
      <c r="DC331" s="91"/>
      <c r="DD331" s="91"/>
      <c r="DE331" s="91"/>
      <c r="DF331" s="91"/>
      <c r="DG331" s="409"/>
      <c r="DH331" s="409"/>
      <c r="DI331" s="409"/>
      <c r="DJ331" s="409"/>
      <c r="DK331" s="409"/>
      <c r="DL331" s="409"/>
      <c r="DM331" s="409"/>
      <c r="DN331" s="409"/>
      <c r="DO331" s="409"/>
      <c r="DP331" s="409"/>
      <c r="DQ331" s="409"/>
      <c r="DR331" s="409"/>
      <c r="DS331" s="409"/>
      <c r="DT331" s="409"/>
      <c r="DU331" s="409"/>
      <c r="DV331" s="409"/>
      <c r="DW331" s="409"/>
      <c r="DX331" s="409"/>
      <c r="DY331" s="409"/>
      <c r="DZ331" s="409"/>
      <c r="EA331" s="409"/>
      <c r="EB331" s="409"/>
      <c r="EC331" s="409"/>
      <c r="ED331" s="409"/>
    </row>
    <row r="332" spans="1:13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65"/>
      <c r="Q332" s="65"/>
      <c r="R332" s="65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>
        <f t="shared" si="110"/>
        <v>102</v>
      </c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  <c r="CA332" s="65"/>
      <c r="CB332" s="65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1"/>
      <c r="DB332" s="91"/>
      <c r="DC332" s="91"/>
      <c r="DD332" s="91"/>
      <c r="DE332" s="91"/>
      <c r="DF332" s="91"/>
      <c r="DG332" s="409"/>
      <c r="DH332" s="409"/>
      <c r="DI332" s="409"/>
      <c r="DJ332" s="409"/>
      <c r="DK332" s="409"/>
      <c r="DL332" s="409"/>
      <c r="DM332" s="409"/>
      <c r="DN332" s="409"/>
      <c r="DO332" s="409"/>
      <c r="DP332" s="409"/>
      <c r="DQ332" s="409"/>
      <c r="DR332" s="409"/>
      <c r="DS332" s="409"/>
      <c r="DT332" s="409"/>
      <c r="DU332" s="409"/>
      <c r="DV332" s="409"/>
      <c r="DW332" s="409"/>
      <c r="DX332" s="409"/>
      <c r="DY332" s="409"/>
      <c r="DZ332" s="409"/>
      <c r="EA332" s="409"/>
      <c r="EB332" s="409"/>
      <c r="EC332" s="409"/>
      <c r="ED332" s="409"/>
    </row>
    <row r="333" spans="1:13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65"/>
      <c r="Q333" s="65"/>
      <c r="R333" s="65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>
        <f t="shared" si="110"/>
        <v>103</v>
      </c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65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1"/>
      <c r="DB333" s="91"/>
      <c r="DC333" s="91"/>
      <c r="DD333" s="91"/>
      <c r="DE333" s="91"/>
      <c r="DF333" s="91"/>
      <c r="DG333" s="409"/>
      <c r="DH333" s="409"/>
      <c r="DI333" s="409"/>
      <c r="DJ333" s="409"/>
      <c r="DK333" s="409"/>
      <c r="DL333" s="409"/>
      <c r="DM333" s="409"/>
      <c r="DN333" s="409"/>
      <c r="DO333" s="409"/>
      <c r="DP333" s="409"/>
      <c r="DQ333" s="409"/>
      <c r="DR333" s="409"/>
      <c r="DS333" s="409"/>
      <c r="DT333" s="409"/>
      <c r="DU333" s="409"/>
      <c r="DV333" s="409"/>
      <c r="DW333" s="409"/>
      <c r="DX333" s="409"/>
      <c r="DY333" s="409"/>
      <c r="DZ333" s="409"/>
      <c r="EA333" s="409"/>
      <c r="EB333" s="409"/>
      <c r="EC333" s="409"/>
      <c r="ED333" s="409"/>
    </row>
    <row r="334" spans="1:1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65"/>
      <c r="Q334" s="65"/>
      <c r="R334" s="65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>
        <f t="shared" si="110"/>
        <v>104</v>
      </c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65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1"/>
      <c r="DB334" s="91"/>
      <c r="DC334" s="91"/>
      <c r="DD334" s="91"/>
      <c r="DE334" s="91"/>
      <c r="DF334" s="91"/>
      <c r="DG334" s="409"/>
      <c r="DH334" s="409"/>
      <c r="DI334" s="409"/>
      <c r="DJ334" s="409"/>
      <c r="DK334" s="409"/>
      <c r="DL334" s="409"/>
      <c r="DM334" s="409"/>
      <c r="DN334" s="409"/>
      <c r="DO334" s="409"/>
      <c r="DP334" s="409"/>
      <c r="DQ334" s="409"/>
      <c r="DR334" s="409"/>
      <c r="DS334" s="409"/>
      <c r="DT334" s="409"/>
      <c r="DU334" s="409"/>
      <c r="DV334" s="409"/>
      <c r="DW334" s="409"/>
      <c r="DX334" s="409"/>
      <c r="DY334" s="409"/>
      <c r="DZ334" s="409"/>
      <c r="EA334" s="409"/>
      <c r="EB334" s="409"/>
      <c r="EC334" s="409"/>
      <c r="ED334" s="409"/>
    </row>
    <row r="335" spans="1:13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65"/>
      <c r="Q335" s="65"/>
      <c r="R335" s="65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>
        <f t="shared" si="110"/>
        <v>105</v>
      </c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1"/>
      <c r="DF335" s="91"/>
      <c r="DG335" s="409"/>
      <c r="DH335" s="409"/>
      <c r="DI335" s="409"/>
      <c r="DJ335" s="409"/>
      <c r="DK335" s="409"/>
      <c r="DL335" s="409"/>
      <c r="DM335" s="409"/>
      <c r="DN335" s="409"/>
      <c r="DO335" s="409"/>
      <c r="DP335" s="409"/>
      <c r="DQ335" s="409"/>
      <c r="DR335" s="409"/>
      <c r="DS335" s="409"/>
      <c r="DT335" s="409"/>
      <c r="DU335" s="409"/>
      <c r="DV335" s="409"/>
      <c r="DW335" s="409"/>
      <c r="DX335" s="409"/>
      <c r="DY335" s="409"/>
      <c r="DZ335" s="409"/>
      <c r="EA335" s="409"/>
      <c r="EB335" s="409"/>
      <c r="EC335" s="409"/>
      <c r="ED335" s="409"/>
    </row>
    <row r="336" spans="1:13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65"/>
      <c r="Q336" s="65"/>
      <c r="R336" s="65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>
        <f t="shared" si="110"/>
        <v>106</v>
      </c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  <c r="CA336" s="65"/>
      <c r="CB336" s="65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1"/>
      <c r="DB336" s="91"/>
      <c r="DC336" s="91"/>
      <c r="DD336" s="91"/>
      <c r="DE336" s="91"/>
      <c r="DF336" s="91"/>
      <c r="DG336" s="409"/>
      <c r="DH336" s="409"/>
      <c r="DI336" s="409"/>
      <c r="DJ336" s="409"/>
      <c r="DK336" s="409"/>
      <c r="DL336" s="409"/>
      <c r="DM336" s="409"/>
      <c r="DN336" s="409"/>
      <c r="DO336" s="409"/>
      <c r="DP336" s="409"/>
      <c r="DQ336" s="409"/>
      <c r="DR336" s="409"/>
      <c r="DS336" s="409"/>
      <c r="DT336" s="409"/>
      <c r="DU336" s="409"/>
      <c r="DV336" s="409"/>
      <c r="DW336" s="409"/>
      <c r="DX336" s="409"/>
      <c r="DY336" s="409"/>
      <c r="DZ336" s="409"/>
      <c r="EA336" s="409"/>
      <c r="EB336" s="409"/>
      <c r="EC336" s="409"/>
      <c r="ED336" s="409"/>
    </row>
    <row r="337" spans="1:13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65"/>
      <c r="Q337" s="65"/>
      <c r="R337" s="65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>
        <f t="shared" si="110"/>
        <v>107</v>
      </c>
      <c r="BH337" s="65"/>
      <c r="BI337" s="65"/>
      <c r="BJ337" s="65"/>
      <c r="BK337" s="65"/>
      <c r="BL337" s="65"/>
      <c r="BM337" s="65"/>
      <c r="BN337" s="65"/>
      <c r="BO337" s="65"/>
      <c r="BP337" s="65"/>
      <c r="BQ337" s="65"/>
      <c r="BR337" s="65"/>
      <c r="BS337" s="65"/>
      <c r="BT337" s="65"/>
      <c r="BU337" s="65"/>
      <c r="BV337" s="65"/>
      <c r="BW337" s="65"/>
      <c r="BX337" s="65"/>
      <c r="BY337" s="65"/>
      <c r="BZ337" s="65"/>
      <c r="CA337" s="65"/>
      <c r="CB337" s="65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1"/>
      <c r="DF337" s="91"/>
      <c r="DG337" s="409"/>
      <c r="DH337" s="409"/>
      <c r="DI337" s="409"/>
      <c r="DJ337" s="409"/>
      <c r="DK337" s="409"/>
      <c r="DL337" s="409"/>
      <c r="DM337" s="409"/>
      <c r="DN337" s="409"/>
      <c r="DO337" s="409"/>
      <c r="DP337" s="409"/>
      <c r="DQ337" s="409"/>
      <c r="DR337" s="409"/>
      <c r="DS337" s="409"/>
      <c r="DT337" s="409"/>
      <c r="DU337" s="409"/>
      <c r="DV337" s="409"/>
      <c r="DW337" s="409"/>
      <c r="DX337" s="409"/>
      <c r="DY337" s="409"/>
      <c r="DZ337" s="409"/>
      <c r="EA337" s="409"/>
      <c r="EB337" s="409"/>
      <c r="EC337" s="409"/>
      <c r="ED337" s="409"/>
    </row>
    <row r="338" spans="1:13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65"/>
      <c r="Q338" s="65"/>
      <c r="R338" s="65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>
        <f t="shared" si="110"/>
        <v>108</v>
      </c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  <c r="CA338" s="65"/>
      <c r="CB338" s="65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1"/>
      <c r="DB338" s="91"/>
      <c r="DC338" s="91"/>
      <c r="DD338" s="91"/>
      <c r="DE338" s="91"/>
      <c r="DF338" s="91"/>
      <c r="DG338" s="409"/>
      <c r="DH338" s="409"/>
      <c r="DI338" s="409"/>
      <c r="DJ338" s="409"/>
      <c r="DK338" s="409"/>
      <c r="DL338" s="409"/>
      <c r="DM338" s="409"/>
      <c r="DN338" s="409"/>
      <c r="DO338" s="409"/>
      <c r="DP338" s="409"/>
      <c r="DQ338" s="409"/>
      <c r="DR338" s="409"/>
      <c r="DS338" s="409"/>
      <c r="DT338" s="409"/>
      <c r="DU338" s="409"/>
      <c r="DV338" s="409"/>
      <c r="DW338" s="409"/>
      <c r="DX338" s="409"/>
      <c r="DY338" s="409"/>
      <c r="DZ338" s="409"/>
      <c r="EA338" s="409"/>
      <c r="EB338" s="409"/>
      <c r="EC338" s="409"/>
      <c r="ED338" s="409"/>
    </row>
    <row r="339" spans="1:13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65"/>
      <c r="Q339" s="65"/>
      <c r="R339" s="65"/>
      <c r="S339" s="65"/>
      <c r="T339" s="65"/>
      <c r="U339" s="65"/>
      <c r="V339" s="65"/>
      <c r="W339" s="65"/>
      <c r="X339" s="65"/>
      <c r="Y339" s="65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>
        <f t="shared" si="110"/>
        <v>109</v>
      </c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  <c r="BR339" s="65"/>
      <c r="BS339" s="65"/>
      <c r="BT339" s="65"/>
      <c r="BU339" s="65"/>
      <c r="BV339" s="65"/>
      <c r="BW339" s="65"/>
      <c r="BX339" s="65"/>
      <c r="BY339" s="65"/>
      <c r="BZ339" s="65"/>
      <c r="CA339" s="65"/>
      <c r="CB339" s="65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1"/>
      <c r="DF339" s="91"/>
      <c r="DG339" s="409"/>
      <c r="DH339" s="409"/>
      <c r="DI339" s="409"/>
      <c r="DJ339" s="409"/>
      <c r="DK339" s="409"/>
      <c r="DL339" s="409"/>
      <c r="DM339" s="409"/>
      <c r="DN339" s="409"/>
      <c r="DO339" s="409"/>
      <c r="DP339" s="409"/>
      <c r="DQ339" s="409"/>
      <c r="DR339" s="409"/>
      <c r="DS339" s="409"/>
      <c r="DT339" s="409"/>
      <c r="DU339" s="409"/>
      <c r="DV339" s="409"/>
      <c r="DW339" s="409"/>
      <c r="DX339" s="409"/>
      <c r="DY339" s="409"/>
      <c r="DZ339" s="409"/>
      <c r="EA339" s="409"/>
      <c r="EB339" s="409"/>
      <c r="EC339" s="409"/>
      <c r="ED339" s="409"/>
    </row>
    <row r="340" spans="1:13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65"/>
      <c r="Q340" s="65"/>
      <c r="R340" s="65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>
        <f t="shared" si="110"/>
        <v>110</v>
      </c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  <c r="CA340" s="65"/>
      <c r="CB340" s="65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1"/>
      <c r="DB340" s="91"/>
      <c r="DC340" s="91"/>
      <c r="DD340" s="91"/>
      <c r="DE340" s="91"/>
      <c r="DF340" s="91"/>
      <c r="DG340" s="409"/>
      <c r="DH340" s="409"/>
      <c r="DI340" s="409"/>
      <c r="DJ340" s="409"/>
      <c r="DK340" s="409"/>
      <c r="DL340" s="409"/>
      <c r="DM340" s="409"/>
      <c r="DN340" s="409"/>
      <c r="DO340" s="409"/>
      <c r="DP340" s="409"/>
      <c r="DQ340" s="409"/>
      <c r="DR340" s="409"/>
      <c r="DS340" s="409"/>
      <c r="DT340" s="409"/>
      <c r="DU340" s="409"/>
      <c r="DV340" s="409"/>
      <c r="DW340" s="409"/>
      <c r="DX340" s="409"/>
      <c r="DY340" s="409"/>
      <c r="DZ340" s="409"/>
      <c r="EA340" s="409"/>
      <c r="EB340" s="409"/>
      <c r="EC340" s="409"/>
      <c r="ED340" s="409"/>
    </row>
    <row r="341" spans="1:13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65"/>
      <c r="Q341" s="65"/>
      <c r="R341" s="65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>
        <f t="shared" si="110"/>
        <v>111</v>
      </c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65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1"/>
      <c r="DB341" s="91"/>
      <c r="DC341" s="91"/>
      <c r="DD341" s="91"/>
      <c r="DE341" s="91"/>
      <c r="DF341" s="91"/>
      <c r="DG341" s="409"/>
      <c r="DH341" s="409"/>
      <c r="DI341" s="409"/>
      <c r="DJ341" s="409"/>
      <c r="DK341" s="409"/>
      <c r="DL341" s="409"/>
      <c r="DM341" s="409"/>
      <c r="DN341" s="409"/>
      <c r="DO341" s="409"/>
      <c r="DP341" s="409"/>
      <c r="DQ341" s="409"/>
      <c r="DR341" s="409"/>
      <c r="DS341" s="409"/>
      <c r="DT341" s="409"/>
      <c r="DU341" s="409"/>
      <c r="DV341" s="409"/>
      <c r="DW341" s="409"/>
      <c r="DX341" s="409"/>
      <c r="DY341" s="409"/>
      <c r="DZ341" s="409"/>
      <c r="EA341" s="409"/>
      <c r="EB341" s="409"/>
      <c r="EC341" s="409"/>
      <c r="ED341" s="409"/>
    </row>
    <row r="342" spans="1:13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65"/>
      <c r="Q342" s="65"/>
      <c r="R342" s="65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>
        <f t="shared" si="110"/>
        <v>112</v>
      </c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1"/>
      <c r="DB342" s="91"/>
      <c r="DC342" s="91"/>
      <c r="DD342" s="91"/>
      <c r="DE342" s="91"/>
      <c r="DF342" s="91"/>
      <c r="DG342" s="409"/>
      <c r="DH342" s="409"/>
      <c r="DI342" s="409"/>
      <c r="DJ342" s="409"/>
      <c r="DK342" s="409"/>
      <c r="DL342" s="409"/>
      <c r="DM342" s="409"/>
      <c r="DN342" s="409"/>
      <c r="DO342" s="409"/>
      <c r="DP342" s="409"/>
      <c r="DQ342" s="409"/>
      <c r="DR342" s="409"/>
      <c r="DS342" s="409"/>
      <c r="DT342" s="409"/>
      <c r="DU342" s="409"/>
      <c r="DV342" s="409"/>
      <c r="DW342" s="409"/>
      <c r="DX342" s="409"/>
      <c r="DY342" s="409"/>
      <c r="DZ342" s="409"/>
      <c r="EA342" s="409"/>
      <c r="EB342" s="409"/>
      <c r="EC342" s="409"/>
      <c r="ED342" s="409"/>
    </row>
    <row r="343" spans="1:13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65"/>
      <c r="Q343" s="65"/>
      <c r="R343" s="65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>
        <f t="shared" si="110"/>
        <v>113</v>
      </c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  <c r="CA343" s="65"/>
      <c r="CB343" s="65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1"/>
      <c r="DB343" s="91"/>
      <c r="DC343" s="91"/>
      <c r="DD343" s="91"/>
      <c r="DE343" s="91"/>
      <c r="DF343" s="91"/>
      <c r="DG343" s="409"/>
      <c r="DH343" s="409"/>
      <c r="DI343" s="409"/>
      <c r="DJ343" s="409"/>
      <c r="DK343" s="409"/>
      <c r="DL343" s="409"/>
      <c r="DM343" s="409"/>
      <c r="DN343" s="409"/>
      <c r="DO343" s="409"/>
      <c r="DP343" s="409"/>
      <c r="DQ343" s="409"/>
      <c r="DR343" s="409"/>
      <c r="DS343" s="409"/>
      <c r="DT343" s="409"/>
      <c r="DU343" s="409"/>
      <c r="DV343" s="409"/>
      <c r="DW343" s="409"/>
      <c r="DX343" s="409"/>
      <c r="DY343" s="409"/>
      <c r="DZ343" s="409"/>
      <c r="EA343" s="409"/>
      <c r="EB343" s="409"/>
      <c r="EC343" s="409"/>
      <c r="ED343" s="409"/>
    </row>
    <row r="344" spans="1:13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65"/>
      <c r="Q344" s="65"/>
      <c r="R344" s="65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>
        <f t="shared" si="110"/>
        <v>114</v>
      </c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  <c r="BR344" s="65"/>
      <c r="BS344" s="65"/>
      <c r="BT344" s="65"/>
      <c r="BU344" s="65"/>
      <c r="BV344" s="65"/>
      <c r="BW344" s="65"/>
      <c r="BX344" s="65"/>
      <c r="BY344" s="65"/>
      <c r="BZ344" s="65"/>
      <c r="CA344" s="65"/>
      <c r="CB344" s="65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1"/>
      <c r="DB344" s="91"/>
      <c r="DC344" s="91"/>
      <c r="DD344" s="91"/>
      <c r="DE344" s="91"/>
      <c r="DF344" s="91"/>
      <c r="DG344" s="409"/>
      <c r="DH344" s="409"/>
      <c r="DI344" s="409"/>
      <c r="DJ344" s="409"/>
      <c r="DK344" s="409"/>
      <c r="DL344" s="409"/>
      <c r="DM344" s="409"/>
      <c r="DN344" s="409"/>
      <c r="DO344" s="409"/>
      <c r="DP344" s="409"/>
      <c r="DQ344" s="409"/>
      <c r="DR344" s="409"/>
      <c r="DS344" s="409"/>
      <c r="DT344" s="409"/>
      <c r="DU344" s="409"/>
      <c r="DV344" s="409"/>
      <c r="DW344" s="409"/>
      <c r="DX344" s="409"/>
      <c r="DY344" s="409"/>
      <c r="DZ344" s="409"/>
      <c r="EA344" s="409"/>
      <c r="EB344" s="409"/>
      <c r="EC344" s="409"/>
      <c r="ED344" s="409"/>
    </row>
    <row r="345" spans="1:13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65"/>
      <c r="Q345" s="65"/>
      <c r="R345" s="65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>
        <f t="shared" si="110"/>
        <v>115</v>
      </c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  <c r="CA345" s="65"/>
      <c r="CB345" s="65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1"/>
      <c r="DB345" s="91"/>
      <c r="DC345" s="91"/>
      <c r="DD345" s="91"/>
      <c r="DE345" s="91"/>
      <c r="DF345" s="91"/>
      <c r="DG345" s="409"/>
      <c r="DH345" s="409"/>
      <c r="DI345" s="409"/>
      <c r="DJ345" s="409"/>
      <c r="DK345" s="409"/>
      <c r="DL345" s="409"/>
      <c r="DM345" s="409"/>
      <c r="DN345" s="409"/>
      <c r="DO345" s="409"/>
      <c r="DP345" s="409"/>
      <c r="DQ345" s="409"/>
      <c r="DR345" s="409"/>
      <c r="DS345" s="409"/>
      <c r="DT345" s="409"/>
      <c r="DU345" s="409"/>
      <c r="DV345" s="409"/>
      <c r="DW345" s="409"/>
      <c r="DX345" s="409"/>
      <c r="DY345" s="409"/>
      <c r="DZ345" s="409"/>
      <c r="EA345" s="409"/>
      <c r="EB345" s="409"/>
      <c r="EC345" s="409"/>
      <c r="ED345" s="409"/>
    </row>
    <row r="346" spans="1:13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65"/>
      <c r="Q346" s="65"/>
      <c r="R346" s="65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>
        <f t="shared" si="110"/>
        <v>116</v>
      </c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  <c r="CA346" s="65"/>
      <c r="CB346" s="65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1"/>
      <c r="DB346" s="91"/>
      <c r="DC346" s="91"/>
      <c r="DD346" s="91"/>
      <c r="DE346" s="91"/>
      <c r="DF346" s="91"/>
      <c r="DG346" s="409"/>
      <c r="DH346" s="409"/>
      <c r="DI346" s="409"/>
      <c r="DJ346" s="409"/>
      <c r="DK346" s="409"/>
      <c r="DL346" s="409"/>
      <c r="DM346" s="409"/>
      <c r="DN346" s="409"/>
      <c r="DO346" s="409"/>
      <c r="DP346" s="409"/>
      <c r="DQ346" s="409"/>
      <c r="DR346" s="409"/>
      <c r="DS346" s="409"/>
      <c r="DT346" s="409"/>
      <c r="DU346" s="409"/>
      <c r="DV346" s="409"/>
      <c r="DW346" s="409"/>
      <c r="DX346" s="409"/>
      <c r="DY346" s="409"/>
      <c r="DZ346" s="409"/>
      <c r="EA346" s="409"/>
      <c r="EB346" s="409"/>
      <c r="EC346" s="409"/>
      <c r="ED346" s="409"/>
    </row>
    <row r="347" spans="1:13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65"/>
      <c r="Q347" s="65"/>
      <c r="R347" s="65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>
        <f t="shared" si="110"/>
        <v>117</v>
      </c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65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1"/>
      <c r="DB347" s="91"/>
      <c r="DC347" s="91"/>
      <c r="DD347" s="91"/>
      <c r="DE347" s="91"/>
      <c r="DF347" s="91"/>
      <c r="DG347" s="409"/>
      <c r="DH347" s="409"/>
      <c r="DI347" s="409"/>
      <c r="DJ347" s="409"/>
      <c r="DK347" s="409"/>
      <c r="DL347" s="409"/>
      <c r="DM347" s="409"/>
      <c r="DN347" s="409"/>
      <c r="DO347" s="409"/>
      <c r="DP347" s="409"/>
      <c r="DQ347" s="409"/>
      <c r="DR347" s="409"/>
      <c r="DS347" s="409"/>
      <c r="DT347" s="409"/>
      <c r="DU347" s="409"/>
      <c r="DV347" s="409"/>
      <c r="DW347" s="409"/>
      <c r="DX347" s="409"/>
      <c r="DY347" s="409"/>
      <c r="DZ347" s="409"/>
      <c r="EA347" s="409"/>
      <c r="EB347" s="409"/>
      <c r="EC347" s="409"/>
      <c r="ED347" s="409"/>
    </row>
    <row r="348" spans="1:13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65"/>
      <c r="Q348" s="65"/>
      <c r="R348" s="65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>
        <f t="shared" si="110"/>
        <v>118</v>
      </c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65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1"/>
      <c r="DB348" s="91"/>
      <c r="DC348" s="91"/>
      <c r="DD348" s="91"/>
      <c r="DE348" s="91"/>
      <c r="DF348" s="91"/>
      <c r="DG348" s="409"/>
      <c r="DH348" s="409"/>
      <c r="DI348" s="409"/>
      <c r="DJ348" s="409"/>
      <c r="DK348" s="409"/>
      <c r="DL348" s="409"/>
      <c r="DM348" s="409"/>
      <c r="DN348" s="409"/>
      <c r="DO348" s="409"/>
      <c r="DP348" s="409"/>
      <c r="DQ348" s="409"/>
      <c r="DR348" s="409"/>
      <c r="DS348" s="409"/>
      <c r="DT348" s="409"/>
      <c r="DU348" s="409"/>
      <c r="DV348" s="409"/>
      <c r="DW348" s="409"/>
      <c r="DX348" s="409"/>
      <c r="DY348" s="409"/>
      <c r="DZ348" s="409"/>
      <c r="EA348" s="409"/>
      <c r="EB348" s="409"/>
      <c r="EC348" s="409"/>
      <c r="ED348" s="409"/>
    </row>
    <row r="349" spans="1:13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65"/>
      <c r="Q349" s="65"/>
      <c r="R349" s="65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>
        <f t="shared" si="110"/>
        <v>119</v>
      </c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1"/>
      <c r="DB349" s="91"/>
      <c r="DC349" s="91"/>
      <c r="DD349" s="91"/>
      <c r="DE349" s="91"/>
      <c r="DF349" s="91"/>
      <c r="DG349" s="409"/>
      <c r="DH349" s="409"/>
      <c r="DI349" s="409"/>
      <c r="DJ349" s="409"/>
      <c r="DK349" s="409"/>
      <c r="DL349" s="409"/>
      <c r="DM349" s="409"/>
      <c r="DN349" s="409"/>
      <c r="DO349" s="409"/>
      <c r="DP349" s="409"/>
      <c r="DQ349" s="409"/>
      <c r="DR349" s="409"/>
      <c r="DS349" s="409"/>
      <c r="DT349" s="409"/>
      <c r="DU349" s="409"/>
      <c r="DV349" s="409"/>
      <c r="DW349" s="409"/>
      <c r="DX349" s="409"/>
      <c r="DY349" s="409"/>
      <c r="DZ349" s="409"/>
      <c r="EA349" s="409"/>
      <c r="EB349" s="409"/>
      <c r="EC349" s="409"/>
      <c r="ED349" s="409"/>
    </row>
    <row r="350" spans="1:13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65"/>
      <c r="Q350" s="65"/>
      <c r="R350" s="65"/>
      <c r="S350" s="65"/>
      <c r="T350" s="65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>
        <f t="shared" si="110"/>
        <v>120</v>
      </c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65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1"/>
      <c r="DB350" s="91"/>
      <c r="DC350" s="91"/>
      <c r="DD350" s="91"/>
      <c r="DE350" s="91"/>
      <c r="DF350" s="91"/>
      <c r="DG350" s="409"/>
      <c r="DH350" s="409"/>
      <c r="DI350" s="409"/>
      <c r="DJ350" s="409"/>
      <c r="DK350" s="409"/>
      <c r="DL350" s="409"/>
      <c r="DM350" s="409"/>
      <c r="DN350" s="409"/>
      <c r="DO350" s="409"/>
      <c r="DP350" s="409"/>
      <c r="DQ350" s="409"/>
      <c r="DR350" s="409"/>
      <c r="DS350" s="409"/>
      <c r="DT350" s="409"/>
      <c r="DU350" s="409"/>
      <c r="DV350" s="409"/>
      <c r="DW350" s="409"/>
      <c r="DX350" s="409"/>
      <c r="DY350" s="409"/>
      <c r="DZ350" s="409"/>
      <c r="EA350" s="409"/>
      <c r="EB350" s="409"/>
      <c r="EC350" s="409"/>
      <c r="ED350" s="409"/>
    </row>
    <row r="351" spans="1:13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65"/>
      <c r="Q351" s="65"/>
      <c r="R351" s="65"/>
      <c r="S351" s="65"/>
      <c r="T351" s="65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  <c r="CA351" s="65"/>
      <c r="CB351" s="65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1"/>
      <c r="DB351" s="91"/>
      <c r="DC351" s="91"/>
      <c r="DD351" s="91"/>
      <c r="DE351" s="91"/>
      <c r="DF351" s="91"/>
      <c r="DG351" s="409"/>
      <c r="DH351" s="409"/>
      <c r="DI351" s="409"/>
      <c r="DJ351" s="409"/>
      <c r="DK351" s="409"/>
      <c r="DL351" s="409"/>
      <c r="DM351" s="409"/>
      <c r="DN351" s="409"/>
      <c r="DO351" s="409"/>
      <c r="DP351" s="409"/>
      <c r="DQ351" s="409"/>
      <c r="DR351" s="409"/>
      <c r="DS351" s="409"/>
      <c r="DT351" s="409"/>
      <c r="DU351" s="409"/>
      <c r="DV351" s="409"/>
      <c r="DW351" s="409"/>
      <c r="DX351" s="409"/>
      <c r="DY351" s="409"/>
      <c r="DZ351" s="409"/>
      <c r="EA351" s="409"/>
      <c r="EB351" s="409"/>
      <c r="EC351" s="409"/>
      <c r="ED351" s="409"/>
    </row>
    <row r="352" spans="1:13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65"/>
      <c r="Q352" s="65"/>
      <c r="R352" s="65"/>
      <c r="S352" s="65"/>
      <c r="T352" s="65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65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1"/>
      <c r="DB352" s="91"/>
      <c r="DC352" s="91"/>
      <c r="DD352" s="91"/>
      <c r="DE352" s="91"/>
      <c r="DF352" s="91"/>
      <c r="DG352" s="409"/>
      <c r="DH352" s="409"/>
      <c r="DI352" s="409"/>
      <c r="DJ352" s="409"/>
      <c r="DK352" s="409"/>
      <c r="DL352" s="409"/>
      <c r="DM352" s="409"/>
      <c r="DN352" s="409"/>
      <c r="DO352" s="409"/>
      <c r="DP352" s="409"/>
      <c r="DQ352" s="409"/>
      <c r="DR352" s="409"/>
      <c r="DS352" s="409"/>
      <c r="DT352" s="409"/>
      <c r="DU352" s="409"/>
      <c r="DV352" s="409"/>
      <c r="DW352" s="409"/>
      <c r="DX352" s="409"/>
      <c r="DY352" s="409"/>
      <c r="DZ352" s="409"/>
      <c r="EA352" s="409"/>
      <c r="EB352" s="409"/>
      <c r="EC352" s="409"/>
      <c r="ED352" s="409"/>
    </row>
    <row r="353" spans="1:13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65"/>
      <c r="Q353" s="65"/>
      <c r="R353" s="65"/>
      <c r="S353" s="65"/>
      <c r="T353" s="65"/>
      <c r="U353" s="65"/>
      <c r="V353" s="65"/>
      <c r="W353" s="65"/>
      <c r="X353" s="65"/>
      <c r="Y353" s="65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  <c r="AK353" s="65"/>
      <c r="AL353" s="65"/>
      <c r="AM353" s="65"/>
      <c r="AN353" s="65"/>
      <c r="AO353" s="65"/>
      <c r="AP353" s="65"/>
      <c r="AQ353" s="65"/>
      <c r="AR353" s="65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5"/>
      <c r="BR353" s="65"/>
      <c r="BS353" s="65"/>
      <c r="BT353" s="65"/>
      <c r="BU353" s="65"/>
      <c r="BV353" s="65"/>
      <c r="BW353" s="65"/>
      <c r="BX353" s="65"/>
      <c r="BY353" s="65"/>
      <c r="BZ353" s="65"/>
      <c r="CA353" s="65"/>
      <c r="CB353" s="65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1"/>
      <c r="DB353" s="91"/>
      <c r="DC353" s="91"/>
      <c r="DD353" s="91"/>
      <c r="DE353" s="91"/>
      <c r="DF353" s="91"/>
      <c r="DG353" s="409"/>
      <c r="DH353" s="409"/>
      <c r="DI353" s="409"/>
      <c r="DJ353" s="409"/>
      <c r="DK353" s="409"/>
      <c r="DL353" s="409"/>
      <c r="DM353" s="409"/>
      <c r="DN353" s="409"/>
      <c r="DO353" s="409"/>
      <c r="DP353" s="409"/>
      <c r="DQ353" s="409"/>
      <c r="DR353" s="409"/>
      <c r="DS353" s="409"/>
      <c r="DT353" s="409"/>
      <c r="DU353" s="409"/>
      <c r="DV353" s="409"/>
      <c r="DW353" s="409"/>
      <c r="DX353" s="409"/>
      <c r="DY353" s="409"/>
      <c r="DZ353" s="409"/>
      <c r="EA353" s="409"/>
      <c r="EB353" s="409"/>
      <c r="EC353" s="409"/>
      <c r="ED353" s="409"/>
    </row>
    <row r="354" spans="1:13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65"/>
      <c r="Q354" s="65"/>
      <c r="R354" s="65"/>
      <c r="S354" s="65"/>
      <c r="T354" s="65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  <c r="CA354" s="65"/>
      <c r="CB354" s="65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1"/>
      <c r="DB354" s="91"/>
      <c r="DC354" s="91"/>
      <c r="DD354" s="91"/>
      <c r="DE354" s="91"/>
      <c r="DF354" s="91"/>
      <c r="DG354" s="409"/>
      <c r="DH354" s="409"/>
      <c r="DI354" s="409"/>
      <c r="DJ354" s="409"/>
      <c r="DK354" s="409"/>
      <c r="DL354" s="409"/>
      <c r="DM354" s="409"/>
      <c r="DN354" s="409"/>
      <c r="DO354" s="409"/>
      <c r="DP354" s="409"/>
      <c r="DQ354" s="409"/>
      <c r="DR354" s="409"/>
      <c r="DS354" s="409"/>
      <c r="DT354" s="409"/>
      <c r="DU354" s="409"/>
      <c r="DV354" s="409"/>
      <c r="DW354" s="409"/>
      <c r="DX354" s="409"/>
      <c r="DY354" s="409"/>
      <c r="DZ354" s="409"/>
      <c r="EA354" s="409"/>
      <c r="EB354" s="409"/>
      <c r="EC354" s="409"/>
      <c r="ED354" s="409"/>
    </row>
    <row r="355" spans="1:13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65"/>
      <c r="Q355" s="65"/>
      <c r="R355" s="65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  <c r="CA355" s="65"/>
      <c r="CB355" s="65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1"/>
      <c r="DF355" s="91"/>
      <c r="DG355" s="409"/>
      <c r="DH355" s="409"/>
      <c r="DI355" s="409"/>
      <c r="DJ355" s="409"/>
      <c r="DK355" s="409"/>
      <c r="DL355" s="409"/>
      <c r="DM355" s="409"/>
      <c r="DN355" s="409"/>
      <c r="DO355" s="409"/>
      <c r="DP355" s="409"/>
      <c r="DQ355" s="409"/>
      <c r="DR355" s="409"/>
      <c r="DS355" s="409"/>
      <c r="DT355" s="409"/>
      <c r="DU355" s="409"/>
      <c r="DV355" s="409"/>
      <c r="DW355" s="409"/>
      <c r="DX355" s="409"/>
      <c r="DY355" s="409"/>
      <c r="DZ355" s="409"/>
      <c r="EA355" s="409"/>
      <c r="EB355" s="409"/>
      <c r="EC355" s="409"/>
      <c r="ED355" s="409"/>
    </row>
    <row r="356" spans="1:13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65"/>
      <c r="Q356" s="65"/>
      <c r="R356" s="65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65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1"/>
      <c r="DB356" s="91"/>
      <c r="DC356" s="91"/>
      <c r="DD356" s="91"/>
      <c r="DE356" s="91"/>
      <c r="DF356" s="91"/>
      <c r="DG356" s="409"/>
      <c r="DH356" s="409"/>
      <c r="DI356" s="409"/>
      <c r="DJ356" s="409"/>
      <c r="DK356" s="409"/>
      <c r="DL356" s="409"/>
      <c r="DM356" s="409"/>
      <c r="DN356" s="409"/>
      <c r="DO356" s="409"/>
      <c r="DP356" s="409"/>
      <c r="DQ356" s="409"/>
      <c r="DR356" s="409"/>
      <c r="DS356" s="409"/>
      <c r="DT356" s="409"/>
      <c r="DU356" s="409"/>
      <c r="DV356" s="409"/>
      <c r="DW356" s="409"/>
      <c r="DX356" s="409"/>
      <c r="DY356" s="409"/>
      <c r="DZ356" s="409"/>
      <c r="EA356" s="409"/>
      <c r="EB356" s="409"/>
      <c r="EC356" s="409"/>
      <c r="ED356" s="409"/>
    </row>
    <row r="357" spans="1:13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65"/>
      <c r="Q357" s="65"/>
      <c r="R357" s="65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  <c r="CA357" s="65"/>
      <c r="CB357" s="65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1"/>
      <c r="DF357" s="91"/>
      <c r="DG357" s="409"/>
      <c r="DH357" s="409"/>
      <c r="DI357" s="409"/>
      <c r="DJ357" s="409"/>
      <c r="DK357" s="409"/>
      <c r="DL357" s="409"/>
      <c r="DM357" s="409"/>
      <c r="DN357" s="409"/>
      <c r="DO357" s="409"/>
      <c r="DP357" s="409"/>
      <c r="DQ357" s="409"/>
      <c r="DR357" s="409"/>
      <c r="DS357" s="409"/>
      <c r="DT357" s="409"/>
      <c r="DU357" s="409"/>
      <c r="DV357" s="409"/>
      <c r="DW357" s="409"/>
      <c r="DX357" s="409"/>
      <c r="DY357" s="409"/>
      <c r="DZ357" s="409"/>
      <c r="EA357" s="409"/>
      <c r="EB357" s="409"/>
      <c r="EC357" s="409"/>
      <c r="ED357" s="409"/>
    </row>
    <row r="358" spans="1:13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65"/>
      <c r="Q358" s="65"/>
      <c r="R358" s="65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65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1"/>
      <c r="DB358" s="91"/>
      <c r="DC358" s="91"/>
      <c r="DD358" s="91"/>
      <c r="DE358" s="91"/>
      <c r="DF358" s="91"/>
      <c r="DG358" s="409"/>
      <c r="DH358" s="409"/>
      <c r="DI358" s="409"/>
      <c r="DJ358" s="409"/>
      <c r="DK358" s="409"/>
      <c r="DL358" s="409"/>
      <c r="DM358" s="409"/>
      <c r="DN358" s="409"/>
      <c r="DO358" s="409"/>
      <c r="DP358" s="409"/>
      <c r="DQ358" s="409"/>
      <c r="DR358" s="409"/>
      <c r="DS358" s="409"/>
      <c r="DT358" s="409"/>
      <c r="DU358" s="409"/>
      <c r="DV358" s="409"/>
      <c r="DW358" s="409"/>
      <c r="DX358" s="409"/>
      <c r="DY358" s="409"/>
      <c r="DZ358" s="409"/>
      <c r="EA358" s="409"/>
      <c r="EB358" s="409"/>
      <c r="EC358" s="409"/>
      <c r="ED358" s="409"/>
    </row>
    <row r="359" spans="1:13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65"/>
      <c r="Q359" s="65"/>
      <c r="R359" s="65"/>
      <c r="S359" s="65"/>
      <c r="T359" s="65"/>
      <c r="U359" s="65"/>
      <c r="V359" s="65"/>
      <c r="W359" s="65"/>
      <c r="X359" s="65"/>
      <c r="Y359" s="65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  <c r="BR359" s="65"/>
      <c r="BS359" s="65"/>
      <c r="BT359" s="65"/>
      <c r="BU359" s="65"/>
      <c r="BV359" s="65"/>
      <c r="BW359" s="65"/>
      <c r="BX359" s="65"/>
      <c r="BY359" s="65"/>
      <c r="BZ359" s="65"/>
      <c r="CA359" s="65"/>
      <c r="CB359" s="65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1"/>
      <c r="DF359" s="91"/>
      <c r="DG359" s="409"/>
      <c r="DH359" s="409"/>
      <c r="DI359" s="409"/>
      <c r="DJ359" s="409"/>
      <c r="DK359" s="409"/>
      <c r="DL359" s="409"/>
      <c r="DM359" s="409"/>
      <c r="DN359" s="409"/>
      <c r="DO359" s="409"/>
      <c r="DP359" s="409"/>
      <c r="DQ359" s="409"/>
      <c r="DR359" s="409"/>
      <c r="DS359" s="409"/>
      <c r="DT359" s="409"/>
      <c r="DU359" s="409"/>
      <c r="DV359" s="409"/>
      <c r="DW359" s="409"/>
      <c r="DX359" s="409"/>
      <c r="DY359" s="409"/>
      <c r="DZ359" s="409"/>
      <c r="EA359" s="409"/>
      <c r="EB359" s="409"/>
      <c r="EC359" s="409"/>
      <c r="ED359" s="409"/>
    </row>
    <row r="360" spans="1:13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65"/>
      <c r="Q360" s="65"/>
      <c r="R360" s="65"/>
      <c r="S360" s="65"/>
      <c r="T360" s="65"/>
      <c r="U360" s="65"/>
      <c r="V360" s="65"/>
      <c r="W360" s="65"/>
      <c r="X360" s="65"/>
      <c r="Y360" s="65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  <c r="BR360" s="65"/>
      <c r="BS360" s="65"/>
      <c r="BT360" s="65"/>
      <c r="BU360" s="65"/>
      <c r="BV360" s="65"/>
      <c r="BW360" s="65"/>
      <c r="BX360" s="65"/>
      <c r="BY360" s="65"/>
      <c r="BZ360" s="65"/>
      <c r="CA360" s="65"/>
      <c r="CB360" s="65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1"/>
      <c r="DB360" s="91"/>
      <c r="DC360" s="91"/>
      <c r="DD360" s="91"/>
      <c r="DE360" s="91"/>
      <c r="DF360" s="91"/>
      <c r="DG360" s="409"/>
      <c r="DH360" s="409"/>
      <c r="DI360" s="409"/>
      <c r="DJ360" s="409"/>
      <c r="DK360" s="409"/>
      <c r="DL360" s="409"/>
      <c r="DM360" s="409"/>
      <c r="DN360" s="409"/>
      <c r="DO360" s="409"/>
      <c r="DP360" s="409"/>
      <c r="DQ360" s="409"/>
      <c r="DR360" s="409"/>
      <c r="DS360" s="409"/>
      <c r="DT360" s="409"/>
      <c r="DU360" s="409"/>
      <c r="DV360" s="409"/>
      <c r="DW360" s="409"/>
      <c r="DX360" s="409"/>
      <c r="DY360" s="409"/>
      <c r="DZ360" s="409"/>
      <c r="EA360" s="409"/>
      <c r="EB360" s="409"/>
      <c r="EC360" s="409"/>
      <c r="ED360" s="409"/>
    </row>
    <row r="361" spans="1:13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65"/>
      <c r="Q361" s="65"/>
      <c r="R361" s="65"/>
      <c r="S361" s="65"/>
      <c r="T361" s="65"/>
      <c r="U361" s="65"/>
      <c r="V361" s="65"/>
      <c r="W361" s="65"/>
      <c r="X361" s="65"/>
      <c r="Y361" s="65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  <c r="CA361" s="65"/>
      <c r="CB361" s="65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1"/>
      <c r="DB361" s="91"/>
      <c r="DC361" s="91"/>
      <c r="DD361" s="91"/>
      <c r="DE361" s="91"/>
      <c r="DF361" s="91"/>
      <c r="DG361" s="409"/>
      <c r="DH361" s="409"/>
      <c r="DI361" s="409"/>
      <c r="DJ361" s="409"/>
      <c r="DK361" s="409"/>
      <c r="DL361" s="409"/>
      <c r="DM361" s="409"/>
      <c r="DN361" s="409"/>
      <c r="DO361" s="409"/>
      <c r="DP361" s="409"/>
      <c r="DQ361" s="409"/>
      <c r="DR361" s="409"/>
      <c r="DS361" s="409"/>
      <c r="DT361" s="409"/>
      <c r="DU361" s="409"/>
      <c r="DV361" s="409"/>
      <c r="DW361" s="409"/>
      <c r="DX361" s="409"/>
      <c r="DY361" s="409"/>
      <c r="DZ361" s="409"/>
      <c r="EA361" s="409"/>
      <c r="EB361" s="409"/>
      <c r="EC361" s="409"/>
      <c r="ED361" s="409"/>
    </row>
    <row r="362" spans="1:13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65"/>
      <c r="Q362" s="65"/>
      <c r="R362" s="65"/>
      <c r="S362" s="65"/>
      <c r="T362" s="65"/>
      <c r="U362" s="65"/>
      <c r="V362" s="65"/>
      <c r="W362" s="65"/>
      <c r="X362" s="65"/>
      <c r="Y362" s="65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  <c r="CA362" s="65"/>
      <c r="CB362" s="65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1"/>
      <c r="DB362" s="91"/>
      <c r="DC362" s="91"/>
      <c r="DD362" s="91"/>
      <c r="DE362" s="91"/>
      <c r="DF362" s="91"/>
      <c r="DG362" s="409"/>
      <c r="DH362" s="409"/>
      <c r="DI362" s="409"/>
      <c r="DJ362" s="409"/>
      <c r="DK362" s="409"/>
      <c r="DL362" s="409"/>
      <c r="DM362" s="409"/>
      <c r="DN362" s="409"/>
      <c r="DO362" s="409"/>
      <c r="DP362" s="409"/>
      <c r="DQ362" s="409"/>
      <c r="DR362" s="409"/>
      <c r="DS362" s="409"/>
      <c r="DT362" s="409"/>
      <c r="DU362" s="409"/>
      <c r="DV362" s="409"/>
      <c r="DW362" s="409"/>
      <c r="DX362" s="409"/>
      <c r="DY362" s="409"/>
      <c r="DZ362" s="409"/>
      <c r="EA362" s="409"/>
      <c r="EB362" s="409"/>
      <c r="EC362" s="409"/>
      <c r="ED362" s="409"/>
    </row>
    <row r="363" spans="1:13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65"/>
      <c r="Q363" s="65"/>
      <c r="R363" s="65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65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1"/>
      <c r="DB363" s="91"/>
      <c r="DC363" s="91"/>
      <c r="DD363" s="91"/>
      <c r="DE363" s="91"/>
      <c r="DF363" s="91"/>
      <c r="DG363" s="409"/>
      <c r="DH363" s="409"/>
      <c r="DI363" s="409"/>
      <c r="DJ363" s="409"/>
      <c r="DK363" s="409"/>
      <c r="DL363" s="409"/>
      <c r="DM363" s="409"/>
      <c r="DN363" s="409"/>
      <c r="DO363" s="409"/>
      <c r="DP363" s="409"/>
      <c r="DQ363" s="409"/>
      <c r="DR363" s="409"/>
      <c r="DS363" s="409"/>
      <c r="DT363" s="409"/>
      <c r="DU363" s="409"/>
      <c r="DV363" s="409"/>
      <c r="DW363" s="409"/>
      <c r="DX363" s="409"/>
      <c r="DY363" s="409"/>
      <c r="DZ363" s="409"/>
      <c r="EA363" s="409"/>
      <c r="EB363" s="409"/>
      <c r="EC363" s="409"/>
      <c r="ED363" s="409"/>
    </row>
    <row r="364" spans="1:13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65"/>
      <c r="Q364" s="65"/>
      <c r="R364" s="65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1"/>
      <c r="DB364" s="91"/>
      <c r="DC364" s="91"/>
      <c r="DD364" s="91"/>
      <c r="DE364" s="91"/>
      <c r="DF364" s="91"/>
      <c r="DG364" s="409"/>
      <c r="DH364" s="409"/>
      <c r="DI364" s="409"/>
      <c r="DJ364" s="409"/>
      <c r="DK364" s="409"/>
      <c r="DL364" s="409"/>
      <c r="DM364" s="409"/>
      <c r="DN364" s="409"/>
      <c r="DO364" s="409"/>
      <c r="DP364" s="409"/>
      <c r="DQ364" s="409"/>
      <c r="DR364" s="409"/>
      <c r="DS364" s="409"/>
      <c r="DT364" s="409"/>
      <c r="DU364" s="409"/>
      <c r="DV364" s="409"/>
      <c r="DW364" s="409"/>
      <c r="DX364" s="409"/>
      <c r="DY364" s="409"/>
      <c r="DZ364" s="409"/>
      <c r="EA364" s="409"/>
      <c r="EB364" s="409"/>
      <c r="EC364" s="409"/>
      <c r="ED364" s="409"/>
    </row>
    <row r="365" spans="1:13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65"/>
      <c r="Q365" s="65"/>
      <c r="R365" s="65"/>
      <c r="S365" s="65"/>
      <c r="T365" s="65"/>
      <c r="U365" s="65"/>
      <c r="V365" s="65"/>
      <c r="W365" s="65"/>
      <c r="X365" s="65"/>
      <c r="Y365" s="65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  <c r="BR365" s="65"/>
      <c r="BS365" s="65"/>
      <c r="BT365" s="65"/>
      <c r="BU365" s="65"/>
      <c r="BV365" s="65"/>
      <c r="BW365" s="65"/>
      <c r="BX365" s="65"/>
      <c r="BY365" s="65"/>
      <c r="BZ365" s="65"/>
      <c r="CA365" s="65"/>
      <c r="CB365" s="65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1"/>
      <c r="DB365" s="91"/>
      <c r="DC365" s="91"/>
      <c r="DD365" s="91"/>
      <c r="DE365" s="91"/>
      <c r="DF365" s="91"/>
      <c r="DG365" s="409"/>
      <c r="DH365" s="409"/>
      <c r="DI365" s="409"/>
      <c r="DJ365" s="409"/>
      <c r="DK365" s="409"/>
      <c r="DL365" s="409"/>
      <c r="DM365" s="409"/>
      <c r="DN365" s="409"/>
      <c r="DO365" s="409"/>
      <c r="DP365" s="409"/>
      <c r="DQ365" s="409"/>
      <c r="DR365" s="409"/>
      <c r="DS365" s="409"/>
      <c r="DT365" s="409"/>
      <c r="DU365" s="409"/>
      <c r="DV365" s="409"/>
      <c r="DW365" s="409"/>
      <c r="DX365" s="409"/>
      <c r="DY365" s="409"/>
      <c r="DZ365" s="409"/>
      <c r="EA365" s="409"/>
      <c r="EB365" s="409"/>
      <c r="EC365" s="409"/>
      <c r="ED365" s="409"/>
    </row>
    <row r="366" spans="1:13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65"/>
      <c r="Q366" s="65"/>
      <c r="R366" s="65"/>
      <c r="S366" s="65"/>
      <c r="T366" s="65"/>
      <c r="U366" s="65"/>
      <c r="V366" s="65"/>
      <c r="W366" s="65"/>
      <c r="X366" s="65"/>
      <c r="Y366" s="65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5"/>
      <c r="BX366" s="65"/>
      <c r="BY366" s="65"/>
      <c r="BZ366" s="65"/>
      <c r="CA366" s="65"/>
      <c r="CB366" s="65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1"/>
      <c r="DF366" s="91"/>
      <c r="DG366" s="409"/>
      <c r="DH366" s="409"/>
      <c r="DI366" s="409"/>
      <c r="DJ366" s="409"/>
      <c r="DK366" s="409"/>
      <c r="DL366" s="409"/>
      <c r="DM366" s="409"/>
      <c r="DN366" s="409"/>
      <c r="DO366" s="409"/>
      <c r="DP366" s="409"/>
      <c r="DQ366" s="409"/>
      <c r="DR366" s="409"/>
      <c r="DS366" s="409"/>
      <c r="DT366" s="409"/>
      <c r="DU366" s="409"/>
      <c r="DV366" s="409"/>
      <c r="DW366" s="409"/>
      <c r="DX366" s="409"/>
      <c r="DY366" s="409"/>
      <c r="DZ366" s="409"/>
      <c r="EA366" s="409"/>
      <c r="EB366" s="409"/>
      <c r="EC366" s="409"/>
      <c r="ED366" s="409"/>
    </row>
    <row r="367" spans="1:13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65"/>
      <c r="Q367" s="65"/>
      <c r="R367" s="65"/>
      <c r="S367" s="65"/>
      <c r="T367" s="65"/>
      <c r="U367" s="65"/>
      <c r="V367" s="65"/>
      <c r="W367" s="65"/>
      <c r="X367" s="65"/>
      <c r="Y367" s="65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  <c r="BS367" s="65"/>
      <c r="BT367" s="65"/>
      <c r="BU367" s="65"/>
      <c r="BV367" s="65"/>
      <c r="BW367" s="65"/>
      <c r="BX367" s="65"/>
      <c r="BY367" s="65"/>
      <c r="BZ367" s="65"/>
      <c r="CA367" s="65"/>
      <c r="CB367" s="65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1"/>
      <c r="DB367" s="91"/>
      <c r="DC367" s="91"/>
      <c r="DD367" s="91"/>
      <c r="DE367" s="91"/>
      <c r="DF367" s="91"/>
      <c r="DG367" s="409"/>
      <c r="DH367" s="409"/>
      <c r="DI367" s="409"/>
      <c r="DJ367" s="409"/>
      <c r="DK367" s="409"/>
      <c r="DL367" s="409"/>
      <c r="DM367" s="409"/>
      <c r="DN367" s="409"/>
      <c r="DO367" s="409"/>
      <c r="DP367" s="409"/>
      <c r="DQ367" s="409"/>
      <c r="DR367" s="409"/>
      <c r="DS367" s="409"/>
      <c r="DT367" s="409"/>
      <c r="DU367" s="409"/>
      <c r="DV367" s="409"/>
      <c r="DW367" s="409"/>
      <c r="DX367" s="409"/>
      <c r="DY367" s="409"/>
      <c r="DZ367" s="409"/>
      <c r="EA367" s="409"/>
      <c r="EB367" s="409"/>
      <c r="EC367" s="409"/>
      <c r="ED367" s="409"/>
    </row>
    <row r="368" spans="1:13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  <c r="BS368" s="65"/>
      <c r="BT368" s="65"/>
      <c r="BU368" s="65"/>
      <c r="BV368" s="65"/>
      <c r="BW368" s="65"/>
      <c r="BX368" s="65"/>
      <c r="BY368" s="65"/>
      <c r="BZ368" s="65"/>
      <c r="CA368" s="65"/>
      <c r="CB368" s="65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1"/>
      <c r="DB368" s="91"/>
      <c r="DC368" s="91"/>
      <c r="DD368" s="91"/>
      <c r="DE368" s="91"/>
      <c r="DF368" s="91"/>
      <c r="DG368" s="409"/>
      <c r="DH368" s="409"/>
      <c r="DI368" s="409"/>
      <c r="DJ368" s="409"/>
      <c r="DK368" s="409"/>
      <c r="DL368" s="409"/>
      <c r="DM368" s="409"/>
      <c r="DN368" s="409"/>
      <c r="DO368" s="409"/>
      <c r="DP368" s="409"/>
      <c r="DQ368" s="409"/>
      <c r="DR368" s="409"/>
      <c r="DS368" s="409"/>
      <c r="DT368" s="409"/>
      <c r="DU368" s="409"/>
      <c r="DV368" s="409"/>
      <c r="DW368" s="409"/>
      <c r="DX368" s="409"/>
      <c r="DY368" s="409"/>
      <c r="DZ368" s="409"/>
      <c r="EA368" s="409"/>
      <c r="EB368" s="409"/>
      <c r="EC368" s="409"/>
      <c r="ED368" s="409"/>
    </row>
    <row r="369" spans="1:13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65"/>
      <c r="Q369" s="65"/>
      <c r="R369" s="65"/>
      <c r="S369" s="65"/>
      <c r="T369" s="65"/>
      <c r="U369" s="65"/>
      <c r="V369" s="65"/>
      <c r="W369" s="65"/>
      <c r="X369" s="65"/>
      <c r="Y369" s="65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  <c r="BR369" s="65"/>
      <c r="BS369" s="65"/>
      <c r="BT369" s="65"/>
      <c r="BU369" s="65"/>
      <c r="BV369" s="65"/>
      <c r="BW369" s="65"/>
      <c r="BX369" s="65"/>
      <c r="BY369" s="65"/>
      <c r="BZ369" s="65"/>
      <c r="CA369" s="65"/>
      <c r="CB369" s="65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1"/>
      <c r="DB369" s="91"/>
      <c r="DC369" s="91"/>
      <c r="DD369" s="91"/>
      <c r="DE369" s="91"/>
      <c r="DF369" s="91"/>
      <c r="DG369" s="409"/>
      <c r="DH369" s="409"/>
      <c r="DI369" s="409"/>
      <c r="DJ369" s="409"/>
      <c r="DK369" s="409"/>
      <c r="DL369" s="409"/>
      <c r="DM369" s="409"/>
      <c r="DN369" s="409"/>
      <c r="DO369" s="409"/>
      <c r="DP369" s="409"/>
      <c r="DQ369" s="409"/>
      <c r="DR369" s="409"/>
      <c r="DS369" s="409"/>
      <c r="DT369" s="409"/>
      <c r="DU369" s="409"/>
      <c r="DV369" s="409"/>
      <c r="DW369" s="409"/>
      <c r="DX369" s="409"/>
      <c r="DY369" s="409"/>
      <c r="DZ369" s="409"/>
      <c r="EA369" s="409"/>
      <c r="EB369" s="409"/>
      <c r="EC369" s="409"/>
      <c r="ED369" s="409"/>
    </row>
    <row r="370" spans="1:134"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1"/>
      <c r="DB370" s="91"/>
      <c r="DC370" s="91"/>
      <c r="DD370" s="91"/>
      <c r="DE370" s="91"/>
      <c r="DF370" s="91"/>
      <c r="DG370" s="409"/>
      <c r="DH370" s="409"/>
      <c r="DI370" s="409"/>
      <c r="DJ370" s="409"/>
      <c r="DK370" s="409"/>
      <c r="DL370" s="409"/>
      <c r="DM370" s="409"/>
      <c r="DN370" s="409"/>
      <c r="DO370" s="409"/>
      <c r="DP370" s="409"/>
      <c r="DQ370" s="409"/>
      <c r="DR370" s="409"/>
      <c r="DS370" s="409"/>
      <c r="DT370" s="409"/>
      <c r="DU370" s="409"/>
      <c r="DV370" s="409"/>
      <c r="DW370" s="409"/>
      <c r="DX370" s="409"/>
      <c r="DY370" s="409"/>
      <c r="DZ370" s="409"/>
      <c r="EA370" s="409"/>
      <c r="EB370" s="409"/>
      <c r="EC370" s="409"/>
      <c r="ED370" s="409"/>
    </row>
    <row r="371" spans="1:134"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1"/>
      <c r="DB371" s="91"/>
      <c r="DC371" s="91"/>
      <c r="DD371" s="91"/>
      <c r="DE371" s="91"/>
      <c r="DF371" s="91"/>
      <c r="DG371" s="409"/>
      <c r="DH371" s="409"/>
      <c r="DI371" s="409"/>
      <c r="DJ371" s="409"/>
      <c r="DK371" s="409"/>
      <c r="DL371" s="409"/>
      <c r="DM371" s="409"/>
      <c r="DN371" s="409"/>
      <c r="DO371" s="409"/>
      <c r="DP371" s="409"/>
      <c r="DQ371" s="409"/>
      <c r="DR371" s="409"/>
      <c r="DS371" s="409"/>
      <c r="DT371" s="409"/>
      <c r="DU371" s="409"/>
      <c r="DV371" s="409"/>
      <c r="DW371" s="409"/>
      <c r="DX371" s="409"/>
      <c r="DY371" s="409"/>
      <c r="DZ371" s="409"/>
      <c r="EA371" s="409"/>
      <c r="EB371" s="409"/>
      <c r="EC371" s="409"/>
      <c r="ED371" s="409"/>
    </row>
    <row r="372" spans="1:134"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1"/>
      <c r="DB372" s="91"/>
      <c r="DC372" s="91"/>
      <c r="DD372" s="91"/>
      <c r="DE372" s="91"/>
      <c r="DF372" s="91"/>
      <c r="DG372" s="409"/>
      <c r="DH372" s="409"/>
      <c r="DI372" s="409"/>
      <c r="DJ372" s="409"/>
      <c r="DK372" s="409"/>
      <c r="DL372" s="409"/>
      <c r="DM372" s="409"/>
      <c r="DN372" s="409"/>
      <c r="DO372" s="409"/>
      <c r="DP372" s="409"/>
      <c r="DQ372" s="409"/>
      <c r="DR372" s="409"/>
      <c r="DS372" s="409"/>
      <c r="DT372" s="409"/>
      <c r="DU372" s="409"/>
      <c r="DV372" s="409"/>
      <c r="DW372" s="409"/>
      <c r="DX372" s="409"/>
      <c r="DY372" s="409"/>
      <c r="DZ372" s="409"/>
      <c r="EA372" s="409"/>
      <c r="EB372" s="409"/>
      <c r="EC372" s="409"/>
      <c r="ED372" s="409"/>
    </row>
    <row r="373" spans="1:134"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1"/>
      <c r="DB373" s="91"/>
      <c r="DC373" s="91"/>
      <c r="DD373" s="91"/>
      <c r="DE373" s="91"/>
      <c r="DF373" s="91"/>
      <c r="DG373" s="409"/>
      <c r="DH373" s="409"/>
      <c r="DI373" s="409"/>
      <c r="DJ373" s="409"/>
      <c r="DK373" s="409"/>
      <c r="DL373" s="409"/>
      <c r="DM373" s="409"/>
      <c r="DN373" s="409"/>
      <c r="DO373" s="409"/>
      <c r="DP373" s="409"/>
      <c r="DQ373" s="409"/>
      <c r="DR373" s="409"/>
      <c r="DS373" s="409"/>
      <c r="DT373" s="409"/>
      <c r="DU373" s="409"/>
      <c r="DV373" s="409"/>
      <c r="DW373" s="409"/>
      <c r="DX373" s="409"/>
      <c r="DY373" s="409"/>
      <c r="DZ373" s="409"/>
      <c r="EA373" s="409"/>
      <c r="EB373" s="409"/>
      <c r="EC373" s="409"/>
      <c r="ED373" s="409"/>
    </row>
    <row r="374" spans="1:134"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1"/>
      <c r="DB374" s="91"/>
      <c r="DC374" s="91"/>
      <c r="DD374" s="91"/>
      <c r="DE374" s="91"/>
      <c r="DF374" s="91"/>
      <c r="DG374" s="409"/>
      <c r="DH374" s="409"/>
      <c r="DI374" s="409"/>
      <c r="DJ374" s="409"/>
      <c r="DK374" s="409"/>
      <c r="DL374" s="409"/>
      <c r="DM374" s="409"/>
      <c r="DN374" s="409"/>
      <c r="DO374" s="409"/>
      <c r="DP374" s="409"/>
      <c r="DQ374" s="409"/>
      <c r="DR374" s="409"/>
      <c r="DS374" s="409"/>
      <c r="DT374" s="409"/>
      <c r="DU374" s="409"/>
      <c r="DV374" s="409"/>
      <c r="DW374" s="409"/>
      <c r="DX374" s="409"/>
      <c r="DY374" s="409"/>
      <c r="DZ374" s="409"/>
      <c r="EA374" s="409"/>
      <c r="EB374" s="409"/>
      <c r="EC374" s="409"/>
      <c r="ED374" s="409"/>
    </row>
    <row r="375" spans="1:134"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1"/>
      <c r="DF375" s="91"/>
      <c r="DG375" s="409"/>
      <c r="DH375" s="409"/>
      <c r="DI375" s="409"/>
      <c r="DJ375" s="409"/>
      <c r="DK375" s="409"/>
      <c r="DL375" s="409"/>
      <c r="DM375" s="409"/>
      <c r="DN375" s="409"/>
      <c r="DO375" s="409"/>
      <c r="DP375" s="409"/>
      <c r="DQ375" s="409"/>
      <c r="DR375" s="409"/>
      <c r="DS375" s="409"/>
      <c r="DT375" s="409"/>
      <c r="DU375" s="409"/>
      <c r="DV375" s="409"/>
      <c r="DW375" s="409"/>
      <c r="DX375" s="409"/>
      <c r="DY375" s="409"/>
      <c r="DZ375" s="409"/>
      <c r="EA375" s="409"/>
      <c r="EB375" s="409"/>
      <c r="EC375" s="409"/>
      <c r="ED375" s="409"/>
    </row>
    <row r="376" spans="1:134"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1"/>
      <c r="DB376" s="91"/>
      <c r="DC376" s="91"/>
      <c r="DD376" s="91"/>
      <c r="DE376" s="91"/>
      <c r="DF376" s="91"/>
      <c r="DG376" s="409"/>
      <c r="DH376" s="409"/>
      <c r="DI376" s="409"/>
      <c r="DJ376" s="409"/>
      <c r="DK376" s="409"/>
      <c r="DL376" s="409"/>
      <c r="DM376" s="409"/>
      <c r="DN376" s="409"/>
      <c r="DO376" s="409"/>
      <c r="DP376" s="409"/>
      <c r="DQ376" s="409"/>
      <c r="DR376" s="409"/>
      <c r="DS376" s="409"/>
      <c r="DT376" s="409"/>
      <c r="DU376" s="409"/>
      <c r="DV376" s="409"/>
      <c r="DW376" s="409"/>
      <c r="DX376" s="409"/>
      <c r="DY376" s="409"/>
      <c r="DZ376" s="409"/>
      <c r="EA376" s="409"/>
      <c r="EB376" s="409"/>
      <c r="EC376" s="409"/>
      <c r="ED376" s="409"/>
    </row>
    <row r="377" spans="1:134"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1"/>
      <c r="DF377" s="91"/>
      <c r="DG377" s="409"/>
      <c r="DH377" s="409"/>
      <c r="DI377" s="409"/>
      <c r="DJ377" s="409"/>
      <c r="DK377" s="409"/>
      <c r="DL377" s="409"/>
      <c r="DM377" s="409"/>
      <c r="DN377" s="409"/>
      <c r="DO377" s="409"/>
      <c r="DP377" s="409"/>
      <c r="DQ377" s="409"/>
      <c r="DR377" s="409"/>
      <c r="DS377" s="409"/>
      <c r="DT377" s="409"/>
      <c r="DU377" s="409"/>
      <c r="DV377" s="409"/>
      <c r="DW377" s="409"/>
      <c r="DX377" s="409"/>
      <c r="DY377" s="409"/>
      <c r="DZ377" s="409"/>
      <c r="EA377" s="409"/>
      <c r="EB377" s="409"/>
      <c r="EC377" s="409"/>
      <c r="ED377" s="409"/>
    </row>
    <row r="378" spans="1:134"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1"/>
      <c r="DF378" s="91"/>
      <c r="DG378" s="409"/>
      <c r="DH378" s="409"/>
      <c r="DI378" s="409"/>
      <c r="DJ378" s="409"/>
      <c r="DK378" s="409"/>
      <c r="DL378" s="409"/>
      <c r="DM378" s="409"/>
      <c r="DN378" s="409"/>
      <c r="DO378" s="409"/>
      <c r="DP378" s="409"/>
      <c r="DQ378" s="409"/>
      <c r="DR378" s="409"/>
      <c r="DS378" s="409"/>
      <c r="DT378" s="409"/>
      <c r="DU378" s="409"/>
      <c r="DV378" s="409"/>
      <c r="DW378" s="409"/>
      <c r="DX378" s="409"/>
      <c r="DY378" s="409"/>
      <c r="DZ378" s="409"/>
      <c r="EA378" s="409"/>
      <c r="EB378" s="409"/>
      <c r="EC378" s="409"/>
      <c r="ED378" s="409"/>
    </row>
    <row r="379" spans="1:134"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1"/>
      <c r="DF379" s="91"/>
      <c r="DG379" s="409"/>
      <c r="DH379" s="409"/>
      <c r="DI379" s="409"/>
      <c r="DJ379" s="409"/>
      <c r="DK379" s="409"/>
      <c r="DL379" s="409"/>
      <c r="DM379" s="409"/>
      <c r="DN379" s="409"/>
      <c r="DO379" s="409"/>
      <c r="DP379" s="409"/>
      <c r="DQ379" s="409"/>
      <c r="DR379" s="409"/>
      <c r="DS379" s="409"/>
      <c r="DT379" s="409"/>
      <c r="DU379" s="409"/>
      <c r="DV379" s="409"/>
      <c r="DW379" s="409"/>
      <c r="DX379" s="409"/>
      <c r="DY379" s="409"/>
      <c r="DZ379" s="409"/>
      <c r="EA379" s="409"/>
      <c r="EB379" s="409"/>
      <c r="EC379" s="409"/>
      <c r="ED379" s="409"/>
    </row>
    <row r="380" spans="1:134"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1"/>
      <c r="DB380" s="91"/>
      <c r="DC380" s="91"/>
      <c r="DD380" s="91"/>
      <c r="DE380" s="91"/>
      <c r="DF380" s="91"/>
      <c r="DG380" s="409"/>
      <c r="DH380" s="409"/>
      <c r="DI380" s="409"/>
      <c r="DJ380" s="409"/>
      <c r="DK380" s="409"/>
      <c r="DL380" s="409"/>
      <c r="DM380" s="409"/>
      <c r="DN380" s="409"/>
      <c r="DO380" s="409"/>
      <c r="DP380" s="409"/>
      <c r="DQ380" s="409"/>
      <c r="DR380" s="409"/>
      <c r="DS380" s="409"/>
      <c r="DT380" s="409"/>
      <c r="DU380" s="409"/>
      <c r="DV380" s="409"/>
      <c r="DW380" s="409"/>
      <c r="DX380" s="409"/>
      <c r="DY380" s="409"/>
      <c r="DZ380" s="409"/>
      <c r="EA380" s="409"/>
      <c r="EB380" s="409"/>
      <c r="EC380" s="409"/>
      <c r="ED380" s="409"/>
    </row>
    <row r="381" spans="1:134"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1"/>
      <c r="DB381" s="91"/>
      <c r="DC381" s="91"/>
      <c r="DD381" s="91"/>
      <c r="DE381" s="91"/>
      <c r="DF381" s="91"/>
      <c r="DG381" s="409"/>
      <c r="DH381" s="409"/>
      <c r="DI381" s="409"/>
      <c r="DJ381" s="409"/>
      <c r="DK381" s="409"/>
      <c r="DL381" s="409"/>
      <c r="DM381" s="409"/>
      <c r="DN381" s="409"/>
      <c r="DO381" s="409"/>
      <c r="DP381" s="409"/>
      <c r="DQ381" s="409"/>
      <c r="DR381" s="409"/>
      <c r="DS381" s="409"/>
      <c r="DT381" s="409"/>
      <c r="DU381" s="409"/>
      <c r="DV381" s="409"/>
      <c r="DW381" s="409"/>
      <c r="DX381" s="409"/>
      <c r="DY381" s="409"/>
      <c r="DZ381" s="409"/>
      <c r="EA381" s="409"/>
      <c r="EB381" s="409"/>
      <c r="EC381" s="409"/>
      <c r="ED381" s="409"/>
    </row>
    <row r="382" spans="1:134"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1"/>
      <c r="DB382" s="91"/>
      <c r="DC382" s="91"/>
      <c r="DD382" s="91"/>
      <c r="DE382" s="91"/>
      <c r="DF382" s="91"/>
      <c r="DG382" s="409"/>
      <c r="DH382" s="409"/>
      <c r="DI382" s="409"/>
      <c r="DJ382" s="409"/>
      <c r="DK382" s="409"/>
      <c r="DL382" s="409"/>
      <c r="DM382" s="409"/>
      <c r="DN382" s="409"/>
      <c r="DO382" s="409"/>
      <c r="DP382" s="409"/>
      <c r="DQ382" s="409"/>
      <c r="DR382" s="409"/>
      <c r="DS382" s="409"/>
      <c r="DT382" s="409"/>
      <c r="DU382" s="409"/>
      <c r="DV382" s="409"/>
      <c r="DW382" s="409"/>
      <c r="DX382" s="409"/>
      <c r="DY382" s="409"/>
      <c r="DZ382" s="409"/>
      <c r="EA382" s="409"/>
      <c r="EB382" s="409"/>
      <c r="EC382" s="409"/>
      <c r="ED382" s="409"/>
    </row>
    <row r="383" spans="1:134"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1"/>
      <c r="DB383" s="91"/>
      <c r="DC383" s="91"/>
      <c r="DD383" s="91"/>
      <c r="DE383" s="91"/>
      <c r="DF383" s="91"/>
      <c r="DG383" s="409"/>
      <c r="DH383" s="409"/>
      <c r="DI383" s="409"/>
      <c r="DJ383" s="409"/>
      <c r="DK383" s="409"/>
      <c r="DL383" s="409"/>
      <c r="DM383" s="409"/>
      <c r="DN383" s="409"/>
      <c r="DO383" s="409"/>
      <c r="DP383" s="409"/>
      <c r="DQ383" s="409"/>
      <c r="DR383" s="409"/>
      <c r="DS383" s="409"/>
      <c r="DT383" s="409"/>
      <c r="DU383" s="409"/>
      <c r="DV383" s="409"/>
      <c r="DW383" s="409"/>
      <c r="DX383" s="409"/>
      <c r="DY383" s="409"/>
      <c r="DZ383" s="409"/>
      <c r="EA383" s="409"/>
      <c r="EB383" s="409"/>
      <c r="EC383" s="409"/>
      <c r="ED383" s="409"/>
    </row>
    <row r="384" spans="1:134"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1"/>
      <c r="DF384" s="91"/>
      <c r="DG384" s="409"/>
      <c r="DH384" s="409"/>
      <c r="DI384" s="409"/>
      <c r="DJ384" s="409"/>
      <c r="DK384" s="409"/>
      <c r="DL384" s="409"/>
      <c r="DM384" s="409"/>
      <c r="DN384" s="409"/>
      <c r="DO384" s="409"/>
      <c r="DP384" s="409"/>
      <c r="DQ384" s="409"/>
      <c r="DR384" s="409"/>
      <c r="DS384" s="409"/>
      <c r="DT384" s="409"/>
      <c r="DU384" s="409"/>
      <c r="DV384" s="409"/>
      <c r="DW384" s="409"/>
      <c r="DX384" s="409"/>
      <c r="DY384" s="409"/>
      <c r="DZ384" s="409"/>
      <c r="EA384" s="409"/>
      <c r="EB384" s="409"/>
      <c r="EC384" s="409"/>
      <c r="ED384" s="409"/>
    </row>
    <row r="385" spans="16:134"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1"/>
      <c r="DB385" s="91"/>
      <c r="DC385" s="91"/>
      <c r="DD385" s="91"/>
      <c r="DE385" s="91"/>
      <c r="DF385" s="91"/>
      <c r="DG385" s="409"/>
      <c r="DH385" s="409"/>
      <c r="DI385" s="409"/>
      <c r="DJ385" s="409"/>
      <c r="DK385" s="409"/>
      <c r="DL385" s="409"/>
      <c r="DM385" s="409"/>
      <c r="DN385" s="409"/>
      <c r="DO385" s="409"/>
      <c r="DP385" s="409"/>
      <c r="DQ385" s="409"/>
      <c r="DR385" s="409"/>
      <c r="DS385" s="409"/>
      <c r="DT385" s="409"/>
      <c r="DU385" s="409"/>
      <c r="DV385" s="409"/>
      <c r="DW385" s="409"/>
      <c r="DX385" s="409"/>
      <c r="DY385" s="409"/>
      <c r="DZ385" s="409"/>
      <c r="EA385" s="409"/>
      <c r="EB385" s="409"/>
      <c r="EC385" s="409"/>
      <c r="ED385" s="409"/>
    </row>
    <row r="386" spans="16:134"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1"/>
      <c r="DF386" s="91"/>
      <c r="DG386" s="409"/>
      <c r="DH386" s="409"/>
      <c r="DI386" s="409"/>
      <c r="DJ386" s="409"/>
      <c r="DK386" s="409"/>
      <c r="DL386" s="409"/>
      <c r="DM386" s="409"/>
      <c r="DN386" s="409"/>
      <c r="DO386" s="409"/>
      <c r="DP386" s="409"/>
      <c r="DQ386" s="409"/>
      <c r="DR386" s="409"/>
      <c r="DS386" s="409"/>
      <c r="DT386" s="409"/>
      <c r="DU386" s="409"/>
      <c r="DV386" s="409"/>
      <c r="DW386" s="409"/>
      <c r="DX386" s="409"/>
      <c r="DY386" s="409"/>
      <c r="DZ386" s="409"/>
      <c r="EA386" s="409"/>
      <c r="EB386" s="409"/>
      <c r="EC386" s="409"/>
      <c r="ED386" s="409"/>
    </row>
    <row r="387" spans="16:134"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1"/>
      <c r="DF387" s="91"/>
      <c r="DG387" s="409"/>
      <c r="DH387" s="409"/>
      <c r="DI387" s="409"/>
      <c r="DJ387" s="409"/>
      <c r="DK387" s="409"/>
      <c r="DL387" s="409"/>
      <c r="DM387" s="409"/>
      <c r="DN387" s="409"/>
      <c r="DO387" s="409"/>
      <c r="DP387" s="409"/>
      <c r="DQ387" s="409"/>
      <c r="DR387" s="409"/>
      <c r="DS387" s="409"/>
      <c r="DT387" s="409"/>
      <c r="DU387" s="409"/>
      <c r="DV387" s="409"/>
      <c r="DW387" s="409"/>
      <c r="DX387" s="409"/>
      <c r="DY387" s="409"/>
      <c r="DZ387" s="409"/>
      <c r="EA387" s="409"/>
      <c r="EB387" s="409"/>
      <c r="EC387" s="409"/>
      <c r="ED387" s="409"/>
    </row>
    <row r="388" spans="16:134"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1"/>
      <c r="DB388" s="91"/>
      <c r="DC388" s="91"/>
      <c r="DD388" s="91"/>
      <c r="DE388" s="91"/>
      <c r="DF388" s="91"/>
      <c r="DG388" s="409"/>
      <c r="DH388" s="409"/>
      <c r="DI388" s="409"/>
      <c r="DJ388" s="409"/>
      <c r="DK388" s="409"/>
      <c r="DL388" s="409"/>
      <c r="DM388" s="409"/>
      <c r="DN388" s="409"/>
      <c r="DO388" s="409"/>
      <c r="DP388" s="409"/>
      <c r="DQ388" s="409"/>
      <c r="DR388" s="409"/>
      <c r="DS388" s="409"/>
      <c r="DT388" s="409"/>
      <c r="DU388" s="409"/>
      <c r="DV388" s="409"/>
      <c r="DW388" s="409"/>
      <c r="DX388" s="409"/>
      <c r="DY388" s="409"/>
      <c r="DZ388" s="409"/>
      <c r="EA388" s="409"/>
      <c r="EB388" s="409"/>
      <c r="EC388" s="409"/>
      <c r="ED388" s="409"/>
    </row>
    <row r="389" spans="16:134">
      <c r="P389" s="91"/>
      <c r="Q389" s="91"/>
      <c r="R389" s="91"/>
      <c r="S389" s="91"/>
      <c r="T389" s="91"/>
      <c r="U389" s="91"/>
      <c r="V389" s="91"/>
      <c r="W389" s="91"/>
      <c r="X389" s="91"/>
      <c r="Y389" s="409"/>
      <c r="Z389" s="409"/>
      <c r="AA389" s="409"/>
      <c r="AB389" s="409"/>
      <c r="AC389" s="409"/>
      <c r="AD389" s="409"/>
      <c r="AE389" s="409"/>
      <c r="AF389" s="409"/>
      <c r="AG389" s="409"/>
      <c r="AH389" s="409"/>
      <c r="AI389" s="409"/>
      <c r="AJ389" s="409"/>
      <c r="AK389" s="409"/>
      <c r="AL389" s="409"/>
      <c r="AM389" s="409"/>
      <c r="AN389" s="409"/>
      <c r="AO389" s="409"/>
      <c r="AP389" s="409"/>
      <c r="AQ389" s="409"/>
      <c r="AR389" s="409"/>
      <c r="AS389" s="409"/>
      <c r="AT389" s="409"/>
      <c r="AU389" s="409"/>
      <c r="AV389" s="409"/>
      <c r="AW389" s="409"/>
      <c r="AX389" s="409"/>
      <c r="AY389" s="409"/>
      <c r="AZ389" s="409"/>
      <c r="BA389" s="409"/>
      <c r="BB389" s="409"/>
      <c r="BC389" s="409"/>
      <c r="BD389" s="409"/>
      <c r="BE389" s="409"/>
      <c r="BF389" s="409"/>
      <c r="BG389" s="409"/>
      <c r="BH389" s="409"/>
      <c r="BI389" s="409"/>
      <c r="BJ389" s="409"/>
      <c r="BK389" s="409"/>
      <c r="BL389" s="409"/>
      <c r="BM389" s="409"/>
      <c r="BN389" s="409"/>
      <c r="BO389" s="409"/>
      <c r="BP389" s="409"/>
      <c r="BQ389" s="409"/>
      <c r="BR389" s="409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1"/>
      <c r="DB389" s="91"/>
      <c r="DC389" s="91"/>
      <c r="DD389" s="91"/>
      <c r="DE389" s="91"/>
      <c r="DF389" s="91"/>
      <c r="DG389" s="409"/>
      <c r="DH389" s="409"/>
      <c r="DI389" s="409"/>
      <c r="DJ389" s="409"/>
      <c r="DK389" s="409"/>
      <c r="DL389" s="409"/>
      <c r="DM389" s="409"/>
      <c r="DN389" s="409"/>
      <c r="DO389" s="409"/>
      <c r="DP389" s="409"/>
      <c r="DQ389" s="409"/>
      <c r="DR389" s="409"/>
      <c r="DS389" s="409"/>
      <c r="DT389" s="409"/>
      <c r="DU389" s="409"/>
      <c r="DV389" s="409"/>
      <c r="DW389" s="409"/>
      <c r="DX389" s="409"/>
      <c r="DY389" s="409"/>
      <c r="DZ389" s="409"/>
      <c r="EA389" s="409"/>
      <c r="EB389" s="409"/>
      <c r="EC389" s="409"/>
      <c r="ED389" s="409"/>
    </row>
    <row r="390" spans="16:134">
      <c r="P390" s="91"/>
      <c r="Q390" s="91"/>
      <c r="R390" s="91"/>
      <c r="S390" s="91"/>
      <c r="T390" s="91"/>
      <c r="U390" s="91"/>
      <c r="V390" s="91"/>
      <c r="W390" s="91"/>
      <c r="X390" s="91"/>
      <c r="Y390" s="409"/>
      <c r="Z390" s="409"/>
      <c r="AA390" s="409"/>
      <c r="AB390" s="409"/>
      <c r="AC390" s="409"/>
      <c r="AD390" s="409"/>
      <c r="AE390" s="409"/>
      <c r="AF390" s="409"/>
      <c r="AG390" s="409"/>
      <c r="AH390" s="409"/>
      <c r="AI390" s="409"/>
      <c r="AJ390" s="409"/>
      <c r="AK390" s="409"/>
      <c r="AL390" s="409"/>
      <c r="AM390" s="409"/>
      <c r="AN390" s="409"/>
      <c r="AO390" s="409"/>
      <c r="AP390" s="409"/>
      <c r="AQ390" s="409"/>
      <c r="AR390" s="409"/>
      <c r="AS390" s="409"/>
      <c r="AT390" s="409"/>
      <c r="AU390" s="409"/>
      <c r="AV390" s="409"/>
      <c r="AW390" s="409"/>
      <c r="AX390" s="409"/>
      <c r="AY390" s="409"/>
      <c r="AZ390" s="409"/>
      <c r="BA390" s="409"/>
      <c r="BB390" s="409"/>
      <c r="BC390" s="409"/>
      <c r="BD390" s="409"/>
      <c r="BE390" s="409"/>
      <c r="BF390" s="409"/>
      <c r="BG390" s="409"/>
      <c r="BH390" s="409"/>
      <c r="BI390" s="409"/>
      <c r="BJ390" s="409"/>
      <c r="BK390" s="409"/>
      <c r="BL390" s="409"/>
      <c r="BM390" s="409"/>
      <c r="BN390" s="409"/>
      <c r="BO390" s="409"/>
      <c r="BP390" s="409"/>
      <c r="BQ390" s="409"/>
      <c r="BR390" s="409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1"/>
      <c r="DB390" s="91"/>
      <c r="DC390" s="91"/>
      <c r="DD390" s="91"/>
      <c r="DE390" s="91"/>
      <c r="DF390" s="91"/>
      <c r="DG390" s="409"/>
      <c r="DH390" s="409"/>
      <c r="DI390" s="409"/>
      <c r="DJ390" s="409"/>
      <c r="DK390" s="409"/>
      <c r="DL390" s="409"/>
      <c r="DM390" s="409"/>
      <c r="DN390" s="409"/>
      <c r="DO390" s="409"/>
      <c r="DP390" s="409"/>
      <c r="DQ390" s="409"/>
      <c r="DR390" s="409"/>
      <c r="DS390" s="409"/>
      <c r="DT390" s="409"/>
      <c r="DU390" s="409"/>
      <c r="DV390" s="409"/>
      <c r="DW390" s="409"/>
      <c r="DX390" s="409"/>
      <c r="DY390" s="409"/>
      <c r="DZ390" s="409"/>
      <c r="EA390" s="409"/>
      <c r="EB390" s="409"/>
      <c r="EC390" s="409"/>
      <c r="ED390" s="409"/>
    </row>
    <row r="391" spans="16:134"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1"/>
      <c r="DF391" s="91"/>
      <c r="DG391" s="409"/>
      <c r="DH391" s="409"/>
      <c r="DI391" s="409"/>
      <c r="DJ391" s="409"/>
      <c r="DK391" s="409"/>
      <c r="DL391" s="409"/>
      <c r="DM391" s="409"/>
      <c r="DN391" s="409"/>
      <c r="DO391" s="409"/>
      <c r="DP391" s="409"/>
      <c r="DQ391" s="409"/>
      <c r="DR391" s="409"/>
      <c r="DS391" s="409"/>
      <c r="DT391" s="409"/>
      <c r="DU391" s="409"/>
      <c r="DV391" s="409"/>
      <c r="DW391" s="409"/>
      <c r="DX391" s="409"/>
      <c r="DY391" s="409"/>
      <c r="DZ391" s="409"/>
      <c r="EA391" s="409"/>
      <c r="EB391" s="409"/>
      <c r="EC391" s="409"/>
      <c r="ED391" s="409"/>
    </row>
    <row r="392" spans="16:134"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1"/>
      <c r="DB392" s="91"/>
      <c r="DC392" s="91"/>
      <c r="DD392" s="91"/>
      <c r="DE392" s="91"/>
      <c r="DF392" s="91"/>
      <c r="DG392" s="409"/>
      <c r="DH392" s="409"/>
      <c r="DI392" s="409"/>
      <c r="DJ392" s="409"/>
      <c r="DK392" s="409"/>
      <c r="DL392" s="409"/>
      <c r="DM392" s="409"/>
      <c r="DN392" s="409"/>
      <c r="DO392" s="409"/>
      <c r="DP392" s="409"/>
      <c r="DQ392" s="409"/>
      <c r="DR392" s="409"/>
      <c r="DS392" s="409"/>
      <c r="DT392" s="409"/>
      <c r="DU392" s="409"/>
      <c r="DV392" s="409"/>
      <c r="DW392" s="409"/>
      <c r="DX392" s="409"/>
      <c r="DY392" s="409"/>
      <c r="DZ392" s="409"/>
      <c r="EA392" s="409"/>
      <c r="EB392" s="409"/>
      <c r="EC392" s="409"/>
      <c r="ED392" s="409"/>
    </row>
    <row r="393" spans="16:134"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1"/>
      <c r="DB393" s="91"/>
      <c r="DC393" s="91"/>
      <c r="DD393" s="91"/>
      <c r="DE393" s="91"/>
      <c r="DF393" s="91"/>
      <c r="DG393" s="409"/>
      <c r="DH393" s="409"/>
      <c r="DI393" s="409"/>
      <c r="DJ393" s="409"/>
      <c r="DK393" s="409"/>
      <c r="DL393" s="409"/>
      <c r="DM393" s="409"/>
      <c r="DN393" s="409"/>
      <c r="DO393" s="409"/>
      <c r="DP393" s="409"/>
      <c r="DQ393" s="409"/>
      <c r="DR393" s="409"/>
      <c r="DS393" s="409"/>
      <c r="DT393" s="409"/>
      <c r="DU393" s="409"/>
      <c r="DV393" s="409"/>
      <c r="DW393" s="409"/>
      <c r="DX393" s="409"/>
      <c r="DY393" s="409"/>
      <c r="DZ393" s="409"/>
      <c r="EA393" s="409"/>
      <c r="EB393" s="409"/>
      <c r="EC393" s="409"/>
      <c r="ED393" s="409"/>
    </row>
    <row r="394" spans="16:134"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1"/>
      <c r="DB394" s="91"/>
      <c r="DC394" s="91"/>
      <c r="DD394" s="91"/>
      <c r="DE394" s="91"/>
      <c r="DF394" s="91"/>
      <c r="DG394" s="409"/>
      <c r="DH394" s="409"/>
      <c r="DI394" s="409"/>
      <c r="DJ394" s="409"/>
      <c r="DK394" s="409"/>
      <c r="DL394" s="409"/>
      <c r="DM394" s="409"/>
      <c r="DN394" s="409"/>
      <c r="DO394" s="409"/>
      <c r="DP394" s="409"/>
      <c r="DQ394" s="409"/>
      <c r="DR394" s="409"/>
      <c r="DS394" s="409"/>
      <c r="DT394" s="409"/>
      <c r="DU394" s="409"/>
      <c r="DV394" s="409"/>
      <c r="DW394" s="409"/>
      <c r="DX394" s="409"/>
      <c r="DY394" s="409"/>
      <c r="DZ394" s="409"/>
      <c r="EA394" s="409"/>
      <c r="EB394" s="409"/>
      <c r="EC394" s="409"/>
      <c r="ED394" s="409"/>
    </row>
    <row r="395" spans="16:134"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1"/>
      <c r="DB395" s="91"/>
      <c r="DC395" s="91"/>
      <c r="DD395" s="91"/>
      <c r="DE395" s="91"/>
      <c r="DF395" s="91"/>
      <c r="DG395" s="409"/>
      <c r="DH395" s="409"/>
      <c r="DI395" s="409"/>
      <c r="DJ395" s="409"/>
      <c r="DK395" s="409"/>
      <c r="DL395" s="409"/>
      <c r="DM395" s="409"/>
      <c r="DN395" s="409"/>
      <c r="DO395" s="409"/>
      <c r="DP395" s="409"/>
      <c r="DQ395" s="409"/>
      <c r="DR395" s="409"/>
      <c r="DS395" s="409"/>
      <c r="DT395" s="409"/>
      <c r="DU395" s="409"/>
      <c r="DV395" s="409"/>
      <c r="DW395" s="409"/>
      <c r="DX395" s="409"/>
      <c r="DY395" s="409"/>
      <c r="DZ395" s="409"/>
      <c r="EA395" s="409"/>
      <c r="EB395" s="409"/>
      <c r="EC395" s="409"/>
      <c r="ED395" s="409"/>
    </row>
    <row r="396" spans="16:134"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1"/>
      <c r="DB396" s="91"/>
      <c r="DC396" s="91"/>
      <c r="DD396" s="91"/>
      <c r="DE396" s="91"/>
      <c r="DF396" s="91"/>
      <c r="DG396" s="409"/>
      <c r="DH396" s="409"/>
      <c r="DI396" s="409"/>
      <c r="DJ396" s="409"/>
      <c r="DK396" s="409"/>
      <c r="DL396" s="409"/>
      <c r="DM396" s="409"/>
      <c r="DN396" s="409"/>
      <c r="DO396" s="409"/>
      <c r="DP396" s="409"/>
      <c r="DQ396" s="409"/>
      <c r="DR396" s="409"/>
      <c r="DS396" s="409"/>
      <c r="DT396" s="409"/>
      <c r="DU396" s="409"/>
      <c r="DV396" s="409"/>
      <c r="DW396" s="409"/>
      <c r="DX396" s="409"/>
      <c r="DY396" s="409"/>
      <c r="DZ396" s="409"/>
      <c r="EA396" s="409"/>
      <c r="EB396" s="409"/>
      <c r="EC396" s="409"/>
      <c r="ED396" s="409"/>
    </row>
  </sheetData>
  <sheetProtection algorithmName="SHA-512" hashValue="q4PfT70W2K1MW0PKab4Q+5o/InmfoDREP0mCjLCnj3H/yPp9Ev66urzhJxLrzk+efUVQztRA/QMqoYm1z1KEnQ==" saltValue="+Cw/nvb8eugj/IqXJZXSWw==" spinCount="100000" sheet="1" objects="1" scenarios="1"/>
  <protectedRanges>
    <protectedRange sqref="D240:H243" name="Bereik35"/>
    <protectedRange sqref="B260:I264" name="Bereik29_1"/>
    <protectedRange sqref="D246:M252" name="Bereik27_1"/>
    <protectedRange sqref="D188:M218 E221:I222 E223:H227" name="Bereik23_1"/>
    <protectedRange sqref="E181:M182" name="Bereik21_1"/>
    <protectedRange sqref="E169:H169" name="Bereik19_1"/>
    <protectedRange sqref="E139:M149" name="Bereik15_1"/>
    <protectedRange sqref="J57:J59" name="Bereik7_1"/>
    <protectedRange sqref="J41:J53" name="Bereik5_1"/>
    <protectedRange sqref="J15:J32" name="Bereik3_1"/>
    <protectedRange sqref="J4:J5 J72:J76 J83:J92 J98:J117 J66:J70 J221:J227" name="Bereik1_1"/>
    <protectedRange sqref="J7:J11" name="Bereik2_1"/>
    <protectedRange sqref="J35:J39" name="Bereik4_1"/>
    <protectedRange sqref="J55" name="Bereik6_1"/>
    <protectedRange sqref="J61:J63" name="Bereik8_1"/>
    <protectedRange sqref="E151:H151" name="Bereik16_1"/>
    <protectedRange sqref="E160:M167" name="Bereik18_1"/>
    <protectedRange sqref="I170:M179" name="Bereik20_1"/>
    <protectedRange sqref="E184:I184" name="Bereik22_1"/>
    <protectedRange sqref="D229:M238" name="Bereik24_1"/>
    <protectedRange sqref="I244:M244" name="Bereik26_1"/>
    <protectedRange sqref="D255:M258" name="Bereik28_1"/>
    <protectedRange sqref="I152:M158" name="Bereik17_1_1"/>
    <protectedRange sqref="L134" name="Bereik13_2_1"/>
    <protectedRange sqref="L128:L132 B128:K128" name="Bereik11_2_1"/>
    <protectedRange sqref="B123:L124" name="Bereik9_1_1"/>
    <protectedRange sqref="B127:L127" name="Bereik10_1_1"/>
    <protectedRange sqref="H133:L133" name="Bereik12_2_1"/>
    <protectedRange sqref="L135:L137" name="Bereik14_2_1"/>
    <protectedRange sqref="B129:K132" name="Bereik11_1_1_1"/>
    <protectedRange sqref="B133:G133" name="Bereik12_1_1_1"/>
    <protectedRange sqref="B135:K137" name="Bereik14_1_1_1"/>
    <protectedRange sqref="J77:J78" name="Bereik12_3_1"/>
    <protectedRange sqref="C77:I78" name="Bereik34"/>
  </protectedRanges>
  <mergeCells count="660">
    <mergeCell ref="B234:C234"/>
    <mergeCell ref="B235:C235"/>
    <mergeCell ref="B236:C236"/>
    <mergeCell ref="B2:O2"/>
    <mergeCell ref="E154:G154"/>
    <mergeCell ref="E155:G155"/>
    <mergeCell ref="E156:G156"/>
    <mergeCell ref="E153:G153"/>
    <mergeCell ref="I233:M233"/>
    <mergeCell ref="I234:M234"/>
    <mergeCell ref="I235:M235"/>
    <mergeCell ref="N234:O234"/>
    <mergeCell ref="D230:H230"/>
    <mergeCell ref="B232:C232"/>
    <mergeCell ref="D216:H216"/>
    <mergeCell ref="D217:H217"/>
    <mergeCell ref="N213:O213"/>
    <mergeCell ref="N214:O214"/>
    <mergeCell ref="N215:O215"/>
    <mergeCell ref="N216:O216"/>
    <mergeCell ref="N217:O217"/>
    <mergeCell ref="N196:O196"/>
    <mergeCell ref="N197:O197"/>
    <mergeCell ref="N209:O209"/>
    <mergeCell ref="C254:O254"/>
    <mergeCell ref="D231:H231"/>
    <mergeCell ref="D232:H232"/>
    <mergeCell ref="D233:H233"/>
    <mergeCell ref="D234:H234"/>
    <mergeCell ref="D235:H235"/>
    <mergeCell ref="I217:M217"/>
    <mergeCell ref="I229:M229"/>
    <mergeCell ref="D200:H200"/>
    <mergeCell ref="D201:H201"/>
    <mergeCell ref="D202:H202"/>
    <mergeCell ref="D203:H203"/>
    <mergeCell ref="D204:H204"/>
    <mergeCell ref="D205:H205"/>
    <mergeCell ref="D206:H206"/>
    <mergeCell ref="D207:H207"/>
    <mergeCell ref="I237:M237"/>
    <mergeCell ref="I238:M238"/>
    <mergeCell ref="C228:O228"/>
    <mergeCell ref="D229:H229"/>
    <mergeCell ref="N235:O235"/>
    <mergeCell ref="I230:M230"/>
    <mergeCell ref="I231:M231"/>
    <mergeCell ref="I232:M232"/>
    <mergeCell ref="D255:H255"/>
    <mergeCell ref="I255:M255"/>
    <mergeCell ref="N255:O255"/>
    <mergeCell ref="N236:O236"/>
    <mergeCell ref="N237:O237"/>
    <mergeCell ref="N238:O238"/>
    <mergeCell ref="D236:H236"/>
    <mergeCell ref="D237:H237"/>
    <mergeCell ref="D238:H238"/>
    <mergeCell ref="N240:O240"/>
    <mergeCell ref="I241:M241"/>
    <mergeCell ref="I242:M242"/>
    <mergeCell ref="D252:H252"/>
    <mergeCell ref="I247:M247"/>
    <mergeCell ref="I248:M248"/>
    <mergeCell ref="D241:H241"/>
    <mergeCell ref="D242:H242"/>
    <mergeCell ref="D243:H243"/>
    <mergeCell ref="C239:O239"/>
    <mergeCell ref="D240:H240"/>
    <mergeCell ref="I240:M240"/>
    <mergeCell ref="B241:C241"/>
    <mergeCell ref="B242:C242"/>
    <mergeCell ref="I236:M236"/>
    <mergeCell ref="N256:O256"/>
    <mergeCell ref="N257:O257"/>
    <mergeCell ref="N258:O258"/>
    <mergeCell ref="D256:H256"/>
    <mergeCell ref="D257:H257"/>
    <mergeCell ref="D258:H258"/>
    <mergeCell ref="B256:C256"/>
    <mergeCell ref="B257:C257"/>
    <mergeCell ref="I256:M256"/>
    <mergeCell ref="I257:M257"/>
    <mergeCell ref="N210:O210"/>
    <mergeCell ref="N211:O211"/>
    <mergeCell ref="N212:O212"/>
    <mergeCell ref="D208:H208"/>
    <mergeCell ref="I216:M216"/>
    <mergeCell ref="B188:B189"/>
    <mergeCell ref="I189:M189"/>
    <mergeCell ref="B187:M187"/>
    <mergeCell ref="N201:O201"/>
    <mergeCell ref="N202:O202"/>
    <mergeCell ref="N203:O203"/>
    <mergeCell ref="N204:O204"/>
    <mergeCell ref="I202:M202"/>
    <mergeCell ref="N205:O205"/>
    <mergeCell ref="N206:O206"/>
    <mergeCell ref="N207:O207"/>
    <mergeCell ref="N208:O208"/>
    <mergeCell ref="I214:M214"/>
    <mergeCell ref="I215:M215"/>
    <mergeCell ref="I193:M193"/>
    <mergeCell ref="I203:M203"/>
    <mergeCell ref="I204:M204"/>
    <mergeCell ref="I205:M205"/>
    <mergeCell ref="I206:M206"/>
    <mergeCell ref="I207:M207"/>
    <mergeCell ref="I208:M208"/>
    <mergeCell ref="I209:M209"/>
    <mergeCell ref="I188:M188"/>
    <mergeCell ref="I190:M190"/>
    <mergeCell ref="I191:M191"/>
    <mergeCell ref="I192:M192"/>
    <mergeCell ref="D188:H188"/>
    <mergeCell ref="D189:H189"/>
    <mergeCell ref="D190:H190"/>
    <mergeCell ref="D191:H191"/>
    <mergeCell ref="D192:H192"/>
    <mergeCell ref="Q184:R184"/>
    <mergeCell ref="N169:O169"/>
    <mergeCell ref="E151:H151"/>
    <mergeCell ref="E170:H179"/>
    <mergeCell ref="I151:M151"/>
    <mergeCell ref="I152:M152"/>
    <mergeCell ref="I153:M153"/>
    <mergeCell ref="I154:M154"/>
    <mergeCell ref="I155:M155"/>
    <mergeCell ref="I156:M156"/>
    <mergeCell ref="I157:M157"/>
    <mergeCell ref="I158:M158"/>
    <mergeCell ref="I169:M169"/>
    <mergeCell ref="N155:O155"/>
    <mergeCell ref="N151:O151"/>
    <mergeCell ref="C183:O185"/>
    <mergeCell ref="B169:D169"/>
    <mergeCell ref="I170:M170"/>
    <mergeCell ref="I171:M171"/>
    <mergeCell ref="I172:M172"/>
    <mergeCell ref="E181:I181"/>
    <mergeCell ref="J181:M181"/>
    <mergeCell ref="E169:H169"/>
    <mergeCell ref="B170:D170"/>
    <mergeCell ref="N152:O152"/>
    <mergeCell ref="N153:O153"/>
    <mergeCell ref="N154:O154"/>
    <mergeCell ref="N164:O164"/>
    <mergeCell ref="N165:O165"/>
    <mergeCell ref="N166:O166"/>
    <mergeCell ref="I177:M177"/>
    <mergeCell ref="I178:M178"/>
    <mergeCell ref="I179:M179"/>
    <mergeCell ref="E167:I167"/>
    <mergeCell ref="J167:M167"/>
    <mergeCell ref="N167:O167"/>
    <mergeCell ref="N160:O160"/>
    <mergeCell ref="N161:O161"/>
    <mergeCell ref="I174:M174"/>
    <mergeCell ref="B171:D171"/>
    <mergeCell ref="B172:D172"/>
    <mergeCell ref="B173:D173"/>
    <mergeCell ref="B175:D175"/>
    <mergeCell ref="C150:O150"/>
    <mergeCell ref="C159:O159"/>
    <mergeCell ref="C168:O168"/>
    <mergeCell ref="B152:D152"/>
    <mergeCell ref="B153:D153"/>
    <mergeCell ref="B154:D154"/>
    <mergeCell ref="B155:D155"/>
    <mergeCell ref="E166:I166"/>
    <mergeCell ref="J166:M166"/>
    <mergeCell ref="E165:I165"/>
    <mergeCell ref="J165:M165"/>
    <mergeCell ref="B163:D163"/>
    <mergeCell ref="E163:I163"/>
    <mergeCell ref="J163:M163"/>
    <mergeCell ref="E164:I164"/>
    <mergeCell ref="J164:M164"/>
    <mergeCell ref="E160:I160"/>
    <mergeCell ref="J160:M160"/>
    <mergeCell ref="E161:I161"/>
    <mergeCell ref="J161:M161"/>
    <mergeCell ref="D137:E137"/>
    <mergeCell ref="F137:G137"/>
    <mergeCell ref="H137:I137"/>
    <mergeCell ref="B146:D146"/>
    <mergeCell ref="B143:D143"/>
    <mergeCell ref="N146:O146"/>
    <mergeCell ref="J141:M141"/>
    <mergeCell ref="J142:M142"/>
    <mergeCell ref="J143:M143"/>
    <mergeCell ref="J144:M144"/>
    <mergeCell ref="J145:M145"/>
    <mergeCell ref="J146:M146"/>
    <mergeCell ref="N142:O142"/>
    <mergeCell ref="N143:O143"/>
    <mergeCell ref="N144:O144"/>
    <mergeCell ref="E142:I142"/>
    <mergeCell ref="E143:I143"/>
    <mergeCell ref="E144:I144"/>
    <mergeCell ref="N145:O145"/>
    <mergeCell ref="E146:I146"/>
    <mergeCell ref="E145:I145"/>
    <mergeCell ref="N137:O137"/>
    <mergeCell ref="B137:C137"/>
    <mergeCell ref="J137:L137"/>
    <mergeCell ref="B122:C122"/>
    <mergeCell ref="D122:E122"/>
    <mergeCell ref="F122:G122"/>
    <mergeCell ref="B125:C125"/>
    <mergeCell ref="B126:C126"/>
    <mergeCell ref="C121:M121"/>
    <mergeCell ref="B132:C132"/>
    <mergeCell ref="B130:C130"/>
    <mergeCell ref="B131:C131"/>
    <mergeCell ref="F130:G130"/>
    <mergeCell ref="H130:I130"/>
    <mergeCell ref="J132:L132"/>
    <mergeCell ref="D131:E131"/>
    <mergeCell ref="F131:G131"/>
    <mergeCell ref="H131:I131"/>
    <mergeCell ref="J130:L130"/>
    <mergeCell ref="J131:L131"/>
    <mergeCell ref="B127:C127"/>
    <mergeCell ref="B129:C129"/>
    <mergeCell ref="D128:E128"/>
    <mergeCell ref="F128:G128"/>
    <mergeCell ref="H128:I128"/>
    <mergeCell ref="D132:E132"/>
    <mergeCell ref="F132:G132"/>
    <mergeCell ref="N125:O125"/>
    <mergeCell ref="N126:O126"/>
    <mergeCell ref="N127:O127"/>
    <mergeCell ref="N128:O128"/>
    <mergeCell ref="D125:E125"/>
    <mergeCell ref="F125:G125"/>
    <mergeCell ref="H125:I125"/>
    <mergeCell ref="J125:L125"/>
    <mergeCell ref="J126:L126"/>
    <mergeCell ref="H126:I126"/>
    <mergeCell ref="F126:G126"/>
    <mergeCell ref="D126:E126"/>
    <mergeCell ref="D127:E127"/>
    <mergeCell ref="F127:G127"/>
    <mergeCell ref="H127:I127"/>
    <mergeCell ref="H132:I132"/>
    <mergeCell ref="J127:L127"/>
    <mergeCell ref="D130:E130"/>
    <mergeCell ref="F129:G129"/>
    <mergeCell ref="H129:I129"/>
    <mergeCell ref="J129:L129"/>
    <mergeCell ref="J128:L128"/>
    <mergeCell ref="D129:E129"/>
    <mergeCell ref="N37:O37"/>
    <mergeCell ref="N38:O38"/>
    <mergeCell ref="C56:O56"/>
    <mergeCell ref="C60:O60"/>
    <mergeCell ref="C119:O119"/>
    <mergeCell ref="N57:O57"/>
    <mergeCell ref="N58:O58"/>
    <mergeCell ref="N59:O59"/>
    <mergeCell ref="B51:H51"/>
    <mergeCell ref="B52:H52"/>
    <mergeCell ref="B53:H53"/>
    <mergeCell ref="B55:H55"/>
    <mergeCell ref="B61:H61"/>
    <mergeCell ref="B62:H62"/>
    <mergeCell ref="B63:H63"/>
    <mergeCell ref="C64:O64"/>
    <mergeCell ref="B37:H37"/>
    <mergeCell ref="B38:H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G32:I32"/>
    <mergeCell ref="B1:O1"/>
    <mergeCell ref="N4:O4"/>
    <mergeCell ref="N5:O5"/>
    <mergeCell ref="C3:O3"/>
    <mergeCell ref="C6:O6"/>
    <mergeCell ref="N7:O7"/>
    <mergeCell ref="N8:O8"/>
    <mergeCell ref="Q33:R33"/>
    <mergeCell ref="N24:O24"/>
    <mergeCell ref="N25:O25"/>
    <mergeCell ref="N26:O26"/>
    <mergeCell ref="N27:O27"/>
    <mergeCell ref="N28:O28"/>
    <mergeCell ref="N19:O19"/>
    <mergeCell ref="N20:O20"/>
    <mergeCell ref="N21:O21"/>
    <mergeCell ref="N22:O22"/>
    <mergeCell ref="N23:O23"/>
    <mergeCell ref="L33:M33"/>
    <mergeCell ref="N29:O29"/>
    <mergeCell ref="N30:O30"/>
    <mergeCell ref="N31:O31"/>
    <mergeCell ref="N32:O32"/>
    <mergeCell ref="B4:H4"/>
    <mergeCell ref="B5:H5"/>
    <mergeCell ref="B7:H7"/>
    <mergeCell ref="B8:H8"/>
    <mergeCell ref="B9:H9"/>
    <mergeCell ref="B10:H10"/>
    <mergeCell ref="B35:H35"/>
    <mergeCell ref="B36:H36"/>
    <mergeCell ref="C34:O34"/>
    <mergeCell ref="N9:O9"/>
    <mergeCell ref="N10:O10"/>
    <mergeCell ref="N15:O15"/>
    <mergeCell ref="N16:O16"/>
    <mergeCell ref="N17:O17"/>
    <mergeCell ref="N18:O18"/>
    <mergeCell ref="N35:O35"/>
    <mergeCell ref="N36:O36"/>
    <mergeCell ref="B11:O11"/>
    <mergeCell ref="G12:O12"/>
    <mergeCell ref="L13:O14"/>
    <mergeCell ref="N66:O66"/>
    <mergeCell ref="N67:O67"/>
    <mergeCell ref="C65:O65"/>
    <mergeCell ref="N68:O68"/>
    <mergeCell ref="N85:O85"/>
    <mergeCell ref="N86:O86"/>
    <mergeCell ref="N87:O87"/>
    <mergeCell ref="N88:O88"/>
    <mergeCell ref="N89:O89"/>
    <mergeCell ref="N69:O69"/>
    <mergeCell ref="B79:O79"/>
    <mergeCell ref="N77:O77"/>
    <mergeCell ref="N78:O78"/>
    <mergeCell ref="N72:O72"/>
    <mergeCell ref="N73:O73"/>
    <mergeCell ref="N74:O74"/>
    <mergeCell ref="N123:O123"/>
    <mergeCell ref="H120:I120"/>
    <mergeCell ref="J120:L120"/>
    <mergeCell ref="B123:C123"/>
    <mergeCell ref="N47:O47"/>
    <mergeCell ref="N48:O48"/>
    <mergeCell ref="N49:O49"/>
    <mergeCell ref="N50:O50"/>
    <mergeCell ref="C54:O54"/>
    <mergeCell ref="F123:G123"/>
    <mergeCell ref="D123:E123"/>
    <mergeCell ref="B120:C120"/>
    <mergeCell ref="D120:E120"/>
    <mergeCell ref="F120:G120"/>
    <mergeCell ref="H122:I122"/>
    <mergeCell ref="J122:L122"/>
    <mergeCell ref="H123:I123"/>
    <mergeCell ref="J123:L123"/>
    <mergeCell ref="N61:O61"/>
    <mergeCell ref="N62:O62"/>
    <mergeCell ref="N63:O63"/>
    <mergeCell ref="B57:H57"/>
    <mergeCell ref="B58:H58"/>
    <mergeCell ref="B59:H59"/>
    <mergeCell ref="N39:O39"/>
    <mergeCell ref="N41:O41"/>
    <mergeCell ref="N42:O42"/>
    <mergeCell ref="N51:O51"/>
    <mergeCell ref="N52:O52"/>
    <mergeCell ref="N53:O53"/>
    <mergeCell ref="N55:O55"/>
    <mergeCell ref="N46:O46"/>
    <mergeCell ref="G33:K33"/>
    <mergeCell ref="B39:H39"/>
    <mergeCell ref="B41:H41"/>
    <mergeCell ref="B42:H42"/>
    <mergeCell ref="B43:H43"/>
    <mergeCell ref="B44:H44"/>
    <mergeCell ref="B45:H45"/>
    <mergeCell ref="B46:H46"/>
    <mergeCell ref="B47:H47"/>
    <mergeCell ref="B48:H48"/>
    <mergeCell ref="B49:H49"/>
    <mergeCell ref="B50:H50"/>
    <mergeCell ref="C40:O40"/>
    <mergeCell ref="N43:O43"/>
    <mergeCell ref="N44:O44"/>
    <mergeCell ref="N45:O45"/>
    <mergeCell ref="B128:C128"/>
    <mergeCell ref="N133:O133"/>
    <mergeCell ref="N134:O134"/>
    <mergeCell ref="N135:O135"/>
    <mergeCell ref="N136:O136"/>
    <mergeCell ref="B134:C134"/>
    <mergeCell ref="B135:C135"/>
    <mergeCell ref="B136:C136"/>
    <mergeCell ref="H134:I134"/>
    <mergeCell ref="D135:E135"/>
    <mergeCell ref="F135:G135"/>
    <mergeCell ref="H135:I135"/>
    <mergeCell ref="J135:L135"/>
    <mergeCell ref="J136:L136"/>
    <mergeCell ref="D134:E134"/>
    <mergeCell ref="F134:G134"/>
    <mergeCell ref="D136:E136"/>
    <mergeCell ref="F136:G136"/>
    <mergeCell ref="B133:C133"/>
    <mergeCell ref="H136:I136"/>
    <mergeCell ref="D133:E133"/>
    <mergeCell ref="F133:G133"/>
    <mergeCell ref="H133:I133"/>
    <mergeCell ref="J133:L133"/>
    <mergeCell ref="C138:O138"/>
    <mergeCell ref="N139:O139"/>
    <mergeCell ref="N140:O140"/>
    <mergeCell ref="N141:O141"/>
    <mergeCell ref="E139:I139"/>
    <mergeCell ref="E140:I140"/>
    <mergeCell ref="E141:I141"/>
    <mergeCell ref="B139:D139"/>
    <mergeCell ref="B140:D140"/>
    <mergeCell ref="B141:D141"/>
    <mergeCell ref="B142:D142"/>
    <mergeCell ref="B144:D144"/>
    <mergeCell ref="B145:D145"/>
    <mergeCell ref="J140:M140"/>
    <mergeCell ref="J139:M139"/>
    <mergeCell ref="E147:I147"/>
    <mergeCell ref="E148:I148"/>
    <mergeCell ref="E149:I149"/>
    <mergeCell ref="N147:O147"/>
    <mergeCell ref="N148:O148"/>
    <mergeCell ref="N149:O149"/>
    <mergeCell ref="J147:M147"/>
    <mergeCell ref="J148:M148"/>
    <mergeCell ref="J149:M149"/>
    <mergeCell ref="J182:M182"/>
    <mergeCell ref="B233:C233"/>
    <mergeCell ref="N230:O230"/>
    <mergeCell ref="N231:O231"/>
    <mergeCell ref="N232:O232"/>
    <mergeCell ref="N233:O233"/>
    <mergeCell ref="N187:O187"/>
    <mergeCell ref="N188:O188"/>
    <mergeCell ref="N189:O189"/>
    <mergeCell ref="N190:O190"/>
    <mergeCell ref="N191:O191"/>
    <mergeCell ref="N192:O192"/>
    <mergeCell ref="I194:M194"/>
    <mergeCell ref="I195:M195"/>
    <mergeCell ref="I196:M196"/>
    <mergeCell ref="I197:M197"/>
    <mergeCell ref="I198:M198"/>
    <mergeCell ref="I199:M199"/>
    <mergeCell ref="I200:M200"/>
    <mergeCell ref="I201:M201"/>
    <mergeCell ref="C219:O219"/>
    <mergeCell ref="B186:M186"/>
    <mergeCell ref="D215:H215"/>
    <mergeCell ref="N221:O221"/>
    <mergeCell ref="D251:H251"/>
    <mergeCell ref="D193:H193"/>
    <mergeCell ref="D194:H194"/>
    <mergeCell ref="D195:H195"/>
    <mergeCell ref="D196:H196"/>
    <mergeCell ref="D197:H197"/>
    <mergeCell ref="D198:H198"/>
    <mergeCell ref="D199:H199"/>
    <mergeCell ref="N229:O229"/>
    <mergeCell ref="D209:H209"/>
    <mergeCell ref="D210:H210"/>
    <mergeCell ref="D211:H211"/>
    <mergeCell ref="D212:H212"/>
    <mergeCell ref="D213:H213"/>
    <mergeCell ref="D214:H214"/>
    <mergeCell ref="N198:O198"/>
    <mergeCell ref="N199:O199"/>
    <mergeCell ref="N200:O200"/>
    <mergeCell ref="I213:M213"/>
    <mergeCell ref="N193:O193"/>
    <mergeCell ref="N194:O194"/>
    <mergeCell ref="N195:O195"/>
    <mergeCell ref="I210:M210"/>
    <mergeCell ref="I211:M211"/>
    <mergeCell ref="J263:M264"/>
    <mergeCell ref="J259:M259"/>
    <mergeCell ref="J260:M260"/>
    <mergeCell ref="J261:M261"/>
    <mergeCell ref="J262:M262"/>
    <mergeCell ref="AB241:AC241"/>
    <mergeCell ref="N263:O264"/>
    <mergeCell ref="D259:I259"/>
    <mergeCell ref="B260:I260"/>
    <mergeCell ref="B261:I261"/>
    <mergeCell ref="B262:I262"/>
    <mergeCell ref="B263:I263"/>
    <mergeCell ref="B264:I264"/>
    <mergeCell ref="N241:O241"/>
    <mergeCell ref="N242:O242"/>
    <mergeCell ref="N243:O243"/>
    <mergeCell ref="I243:M243"/>
    <mergeCell ref="N244:O244"/>
    <mergeCell ref="D246:H246"/>
    <mergeCell ref="I246:M246"/>
    <mergeCell ref="B248:C248"/>
    <mergeCell ref="B249:C249"/>
    <mergeCell ref="B250:C250"/>
    <mergeCell ref="B251:C251"/>
    <mergeCell ref="AB240:AC240"/>
    <mergeCell ref="N259:O259"/>
    <mergeCell ref="N262:O262"/>
    <mergeCell ref="N261:O261"/>
    <mergeCell ref="N260:O260"/>
    <mergeCell ref="I249:M249"/>
    <mergeCell ref="I250:M250"/>
    <mergeCell ref="I251:M251"/>
    <mergeCell ref="I252:M252"/>
    <mergeCell ref="N246:O246"/>
    <mergeCell ref="N247:O247"/>
    <mergeCell ref="N248:O248"/>
    <mergeCell ref="N249:O249"/>
    <mergeCell ref="N250:O250"/>
    <mergeCell ref="N251:O251"/>
    <mergeCell ref="N252:O252"/>
    <mergeCell ref="D253:O253"/>
    <mergeCell ref="C245:O245"/>
    <mergeCell ref="I244:M244"/>
    <mergeCell ref="D247:H247"/>
    <mergeCell ref="D248:H248"/>
    <mergeCell ref="D249:H249"/>
    <mergeCell ref="D250:H250"/>
    <mergeCell ref="I258:M258"/>
    <mergeCell ref="B124:C124"/>
    <mergeCell ref="D124:E124"/>
    <mergeCell ref="F124:G124"/>
    <mergeCell ref="H124:I124"/>
    <mergeCell ref="J124:L124"/>
    <mergeCell ref="N124:O124"/>
    <mergeCell ref="J134:L134"/>
    <mergeCell ref="I212:M212"/>
    <mergeCell ref="N186:O186"/>
    <mergeCell ref="B162:D162"/>
    <mergeCell ref="E162:I162"/>
    <mergeCell ref="J162:M162"/>
    <mergeCell ref="N181:O181"/>
    <mergeCell ref="E182:I182"/>
    <mergeCell ref="N182:O182"/>
    <mergeCell ref="C180:O180"/>
    <mergeCell ref="I175:M175"/>
    <mergeCell ref="I176:M176"/>
    <mergeCell ref="B174:D174"/>
    <mergeCell ref="B181:D182"/>
    <mergeCell ref="N162:O162"/>
    <mergeCell ref="N163:O163"/>
    <mergeCell ref="B176:D176"/>
    <mergeCell ref="I173:M173"/>
    <mergeCell ref="N91:O91"/>
    <mergeCell ref="N92:O92"/>
    <mergeCell ref="N98:O98"/>
    <mergeCell ref="N99:O99"/>
    <mergeCell ref="N100:O100"/>
    <mergeCell ref="G80:O80"/>
    <mergeCell ref="L81:O82"/>
    <mergeCell ref="C94:O94"/>
    <mergeCell ref="G95:O95"/>
    <mergeCell ref="L96:O97"/>
    <mergeCell ref="N83:O83"/>
    <mergeCell ref="G83:I83"/>
    <mergeCell ref="G84:I84"/>
    <mergeCell ref="G85:I85"/>
    <mergeCell ref="G86:I86"/>
    <mergeCell ref="G87:I87"/>
    <mergeCell ref="G88:I88"/>
    <mergeCell ref="G89:I89"/>
    <mergeCell ref="G90:I90"/>
    <mergeCell ref="G91:I91"/>
    <mergeCell ref="G92:I92"/>
    <mergeCell ref="N84:O84"/>
    <mergeCell ref="N90:O90"/>
    <mergeCell ref="N107:O107"/>
    <mergeCell ref="G107:I107"/>
    <mergeCell ref="N108:O108"/>
    <mergeCell ref="G108:I108"/>
    <mergeCell ref="N109:O109"/>
    <mergeCell ref="G109:I109"/>
    <mergeCell ref="N110:O110"/>
    <mergeCell ref="G100:I100"/>
    <mergeCell ref="N101:O101"/>
    <mergeCell ref="G101:I101"/>
    <mergeCell ref="N102:O102"/>
    <mergeCell ref="G102:I102"/>
    <mergeCell ref="N103:O103"/>
    <mergeCell ref="G103:I103"/>
    <mergeCell ref="N104:O104"/>
    <mergeCell ref="G104:I104"/>
    <mergeCell ref="N105:O105"/>
    <mergeCell ref="G115:I115"/>
    <mergeCell ref="N116:O116"/>
    <mergeCell ref="G116:I116"/>
    <mergeCell ref="N117:O117"/>
    <mergeCell ref="G93:K93"/>
    <mergeCell ref="L93:M93"/>
    <mergeCell ref="G118:K118"/>
    <mergeCell ref="L118:M118"/>
    <mergeCell ref="G98:I98"/>
    <mergeCell ref="G99:I99"/>
    <mergeCell ref="G117:I117"/>
    <mergeCell ref="G110:I110"/>
    <mergeCell ref="N111:O111"/>
    <mergeCell ref="G111:I111"/>
    <mergeCell ref="N112:O112"/>
    <mergeCell ref="G112:I112"/>
    <mergeCell ref="N113:O113"/>
    <mergeCell ref="G113:I113"/>
    <mergeCell ref="N114:O114"/>
    <mergeCell ref="G114:I114"/>
    <mergeCell ref="N115:O115"/>
    <mergeCell ref="G105:I105"/>
    <mergeCell ref="N106:O106"/>
    <mergeCell ref="G106:I106"/>
    <mergeCell ref="N222:O222"/>
    <mergeCell ref="N223:O223"/>
    <mergeCell ref="N224:O224"/>
    <mergeCell ref="N226:O226"/>
    <mergeCell ref="N227:O227"/>
    <mergeCell ref="B221:C223"/>
    <mergeCell ref="N225:O225"/>
    <mergeCell ref="B224:C224"/>
    <mergeCell ref="B225:C225"/>
    <mergeCell ref="J220:K220"/>
    <mergeCell ref="J221:K221"/>
    <mergeCell ref="J222:K222"/>
    <mergeCell ref="J223:K223"/>
    <mergeCell ref="J224:K224"/>
    <mergeCell ref="J226:K226"/>
    <mergeCell ref="J227:K227"/>
    <mergeCell ref="J225:K225"/>
    <mergeCell ref="C66:H66"/>
    <mergeCell ref="C67:H67"/>
    <mergeCell ref="C68:H68"/>
    <mergeCell ref="C69:H69"/>
    <mergeCell ref="C70:H70"/>
    <mergeCell ref="C77:I77"/>
    <mergeCell ref="C78:I78"/>
    <mergeCell ref="J77:M77"/>
    <mergeCell ref="J78:M78"/>
    <mergeCell ref="B75:O75"/>
    <mergeCell ref="B76:O76"/>
    <mergeCell ref="C72:H72"/>
    <mergeCell ref="C73:H73"/>
    <mergeCell ref="C74:H74"/>
    <mergeCell ref="N70:O70"/>
    <mergeCell ref="C71:O71"/>
  </mergeCells>
  <conditionalFormatting sqref="S35:U36">
    <cfRule type="containsText" dxfId="52" priority="713" operator="containsText" text="klopt niet !">
      <formula>NOT(ISERROR(SEARCH("klopt niet !",S35)))</formula>
    </cfRule>
    <cfRule type="containsText" dxfId="51" priority="714" operator="containsText" text="klopt niet">
      <formula>NOT(ISERROR(SEARCH("klopt niet",S35)))</formula>
    </cfRule>
    <cfRule type="containsText" dxfId="50" priority="715" operator="containsText" text="klopt niet">
      <formula>NOT(ISERROR(SEARCH("klopt niet",S35)))</formula>
    </cfRule>
  </conditionalFormatting>
  <conditionalFormatting sqref="V35:X36">
    <cfRule type="containsText" dxfId="49" priority="712" operator="containsText" text="klopt niet !">
      <formula>NOT(ISERROR(SEARCH("klopt niet !",V35)))</formula>
    </cfRule>
  </conditionalFormatting>
  <conditionalFormatting sqref="L81:O82 L96:O97 L13:P14">
    <cfRule type="containsText" dxfId="48" priority="711" operator="containsText" text="Vul kruisje">
      <formula>NOT(ISERROR(SEARCH("Vul kruisje",L13)))</formula>
    </cfRule>
  </conditionalFormatting>
  <conditionalFormatting sqref="M127">
    <cfRule type="containsText" dxfId="47" priority="704" operator="containsText" text="klik &amp; kies aantal snacks">
      <formula>NOT(ISERROR(SEARCH("klik &amp; kies aantal snacks",M127)))</formula>
    </cfRule>
  </conditionalFormatting>
  <conditionalFormatting sqref="M127">
    <cfRule type="containsText" dxfId="46" priority="702" operator="containsText" text="klik &amp; kies aantal snacks">
      <formula>NOT(ISERROR(SEARCH("klik &amp; kies aantal snacks",M127)))</formula>
    </cfRule>
  </conditionalFormatting>
  <conditionalFormatting sqref="H127 J127 B127 D127 F127">
    <cfRule type="containsText" dxfId="45" priority="286" operator="containsText" text="Maak Keuze aantal snacks">
      <formula>NOT(ISERROR(SEARCH("Maak Keuze aantal snacks",B127)))</formula>
    </cfRule>
  </conditionalFormatting>
  <conditionalFormatting sqref="B136:J136">
    <cfRule type="containsText" dxfId="44" priority="269" operator="containsText" text="kLIK &amp; kIES SAUSJE 2 ---&gt;">
      <formula>NOT(ISERROR(SEARCH("kLIK &amp; kIES SAUSJE 2 ---&gt;",B136)))</formula>
    </cfRule>
  </conditionalFormatting>
  <conditionalFormatting sqref="B137:J137">
    <cfRule type="containsText" dxfId="43" priority="268" operator="containsText" text="kLIK &amp; kIES SAUSJE 3 ---&gt;">
      <formula>NOT(ISERROR(SEARCH("kLIK &amp; kIES SAUSJE 3 ---&gt;",B137)))</formula>
    </cfRule>
  </conditionalFormatting>
  <conditionalFormatting sqref="N139:P149">
    <cfRule type="cellIs" dxfId="42" priority="250" operator="equal">
      <formula>#VALUE!</formula>
    </cfRule>
  </conditionalFormatting>
  <conditionalFormatting sqref="D253">
    <cfRule type="containsText" dxfId="41" priority="247" operator="containsText" text="Minimum aantal wraps">
      <formula>NOT(ISERROR(SEARCH("Minimum aantal wraps",D253)))</formula>
    </cfRule>
    <cfRule type="containsText" dxfId="40" priority="248" operator="containsText" text="minimale afname">
      <formula>NOT(ISERROR(SEARCH("minimale afname",D253)))</formula>
    </cfRule>
  </conditionalFormatting>
  <conditionalFormatting sqref="B135:J135">
    <cfRule type="containsText" dxfId="39" priority="246" operator="containsText" text="Klik &amp; kies sausje 1 ---&gt;">
      <formula>NOT(ISERROR(SEARCH("Klik &amp; kies sausje 1 ---&gt;",B135)))</formula>
    </cfRule>
  </conditionalFormatting>
  <conditionalFormatting sqref="F135:J135">
    <cfRule type="containsText" dxfId="38" priority="244" operator="containsText" text="Klik &amp; Kies sausje 1 ---&gt;">
      <formula>NOT(ISERROR(SEARCH("Klik &amp; Kies sausje 1 ---&gt;",F135)))</formula>
    </cfRule>
  </conditionalFormatting>
  <conditionalFormatting sqref="B133:C133">
    <cfRule type="containsText" dxfId="37" priority="241" operator="containsText" text="kies toevoeging saus --&gt;">
      <formula>NOT(ISERROR(SEARCH("kies toevoeging saus --&gt;",B133)))</formula>
    </cfRule>
  </conditionalFormatting>
  <conditionalFormatting sqref="B133:J133">
    <cfRule type="containsText" dxfId="36" priority="240" operator="containsText" text="Kies toevoeging saus --&gt;">
      <formula>NOT(ISERROR(SEARCH("Kies toevoeging saus --&gt;",B133)))</formula>
    </cfRule>
  </conditionalFormatting>
  <conditionalFormatting sqref="B134 D134:J134">
    <cfRule type="containsText" dxfId="35" priority="236" operator="containsText" text="kies hoe saus leveren? ---&gt;">
      <formula>NOT(ISERROR(SEARCH("kies hoe saus leveren? ---&gt;",B134)))</formula>
    </cfRule>
  </conditionalFormatting>
  <conditionalFormatting sqref="B134 D134:J134">
    <cfRule type="containsText" dxfId="34" priority="235" operator="containsText" text="Kies hoe saus leveren? ---&gt;">
      <formula>NOT(ISERROR(SEARCH("Kies hoe saus leveren? ---&gt;",B134)))</formula>
    </cfRule>
  </conditionalFormatting>
  <conditionalFormatting sqref="F134:G134">
    <cfRule type="containsText" dxfId="33" priority="233" operator="containsText" text="Hoe saus leveren? ---&gt;">
      <formula>NOT(ISERROR(SEARCH("Hoe saus leveren? ---&gt;",F134)))</formula>
    </cfRule>
  </conditionalFormatting>
  <conditionalFormatting sqref="H152">
    <cfRule type="expression" dxfId="32" priority="229">
      <formula>$I$152="klik &amp; kies tapa 1 ---&gt;"</formula>
    </cfRule>
    <cfRule type="expression" dxfId="31" priority="230">
      <formula>$I$152=""</formula>
    </cfRule>
  </conditionalFormatting>
  <conditionalFormatting sqref="H153">
    <cfRule type="expression" dxfId="30" priority="227">
      <formula>$I$153="klik &amp; kies tapa 2 ---&gt;"</formula>
    </cfRule>
    <cfRule type="expression" dxfId="29" priority="228">
      <formula>$I$153=""</formula>
    </cfRule>
  </conditionalFormatting>
  <conditionalFormatting sqref="H154">
    <cfRule type="expression" dxfId="28" priority="225">
      <formula>$I$154="klik &amp; kies tapa 3 ---&gt;"</formula>
    </cfRule>
    <cfRule type="expression" dxfId="27" priority="226">
      <formula>$I$154=""</formula>
    </cfRule>
  </conditionalFormatting>
  <conditionalFormatting sqref="H155">
    <cfRule type="expression" dxfId="26" priority="223">
      <formula>$I$155="klik &amp; kies tapa 4 ---&gt;"</formula>
    </cfRule>
    <cfRule type="expression" dxfId="25" priority="224">
      <formula>$I$155=""</formula>
    </cfRule>
  </conditionalFormatting>
  <conditionalFormatting sqref="H156">
    <cfRule type="expression" dxfId="24" priority="221">
      <formula>$I$156="klik &amp; kies tapa 5 ---&gt;"</formula>
    </cfRule>
    <cfRule type="expression" dxfId="23" priority="222">
      <formula>$I$156=""</formula>
    </cfRule>
  </conditionalFormatting>
  <conditionalFormatting sqref="H157">
    <cfRule type="expression" dxfId="22" priority="219">
      <formula>$I$157="klik &amp; kies tapa 6 ---&gt;"</formula>
    </cfRule>
    <cfRule type="expression" dxfId="21" priority="220">
      <formula>$I$157=""</formula>
    </cfRule>
  </conditionalFormatting>
  <conditionalFormatting sqref="H158">
    <cfRule type="expression" dxfId="20" priority="217">
      <formula>$I$158="klik &amp; kies tapa 7 ---&gt;"</formula>
    </cfRule>
    <cfRule type="expression" dxfId="19" priority="218">
      <formula>$I$158=""</formula>
    </cfRule>
  </conditionalFormatting>
  <conditionalFormatting sqref="B124:J124">
    <cfRule type="cellIs" dxfId="18" priority="94" operator="notEqual">
      <formula>"aantal dezelfde schotels"</formula>
    </cfRule>
  </conditionalFormatting>
  <conditionalFormatting sqref="H134:I134">
    <cfRule type="containsText" dxfId="17" priority="5" operator="containsText" text="Hoe saus leveren? ---&gt;">
      <formula>NOT(ISERROR(SEARCH("Hoe saus leveren? ---&gt;",H134)))</formula>
    </cfRule>
  </conditionalFormatting>
  <conditionalFormatting sqref="D133:E133">
    <cfRule type="containsText" dxfId="16" priority="4" operator="containsText" text="kies toevoeging saus --&gt;">
      <formula>NOT(ISERROR(SEARCH("kies toevoeging saus --&gt;",D133)))</formula>
    </cfRule>
  </conditionalFormatting>
  <conditionalFormatting sqref="F133:G133">
    <cfRule type="containsText" dxfId="15" priority="3" operator="containsText" text="kies toevoeging saus --&gt;">
      <formula>NOT(ISERROR(SEARCH("kies toevoeging saus --&gt;",F133)))</formula>
    </cfRule>
  </conditionalFormatting>
  <conditionalFormatting sqref="J134">
    <cfRule type="containsText" dxfId="14" priority="2" operator="containsText" text="Hoe saus leveren? ---&gt;">
      <formula>NOT(ISERROR(SEARCH("Hoe saus leveren? ---&gt;",J134)))</formula>
    </cfRule>
  </conditionalFormatting>
  <conditionalFormatting sqref="J134">
    <cfRule type="containsText" dxfId="13" priority="1" operator="containsText" text="Hoe saus leveren? ---&gt;">
      <formula>NOT(ISERROR(SEARCH("Hoe saus leveren? ---&gt;",J134)))</formula>
    </cfRule>
  </conditionalFormatting>
  <dataValidations count="61">
    <dataValidation type="list" allowBlank="1" showInputMessage="1" showErrorMessage="1" sqref="I229:I238 I240:M243" xr:uid="{00000000-0002-0000-0300-000000000000}">
      <formula1>$BG$229:$BG$350</formula1>
    </dataValidation>
    <dataValidation type="list" allowBlank="1" showInputMessage="1" showErrorMessage="1" sqref="D240:H243" xr:uid="{00000000-0002-0000-0300-000001000000}">
      <formula1>$BK$229:$BK$237</formula1>
    </dataValidation>
    <dataValidation type="list" allowBlank="1" showInputMessage="1" showErrorMessage="1" sqref="I244:M244" xr:uid="{00000000-0002-0000-0300-000002000000}">
      <formula1>$BK$239:$BK$242</formula1>
    </dataValidation>
    <dataValidation type="list" allowBlank="1" showInputMessage="1" showErrorMessage="1" sqref="D246:H252" xr:uid="{00000000-0002-0000-0300-000003000000}">
      <formula1>$BK$245:$BK$254</formula1>
    </dataValidation>
    <dataValidation type="list" allowBlank="1" showInputMessage="1" showErrorMessage="1" sqref="I246:M252" xr:uid="{00000000-0002-0000-0300-000004000000}">
      <formula1>$BP$229:$BP$280</formula1>
    </dataValidation>
    <dataValidation type="list" allowBlank="1" showInputMessage="1" showErrorMessage="1" sqref="D256:D258 D255:H255" xr:uid="{00000000-0002-0000-0300-000005000000}">
      <formula1>$AJ$248:$AJ$253</formula1>
    </dataValidation>
    <dataValidation type="list" allowBlank="1" showInputMessage="1" showErrorMessage="1" sqref="I255:M258" xr:uid="{00000000-0002-0000-0300-000006000000}">
      <formula1>$BI$229:$BI$271</formula1>
    </dataValidation>
    <dataValidation type="list" allowBlank="1" showInputMessage="1" showErrorMessage="1" sqref="D229:H238" xr:uid="{00000000-0002-0000-0300-000007000000}">
      <formula1>$AW$231:$AW$254</formula1>
    </dataValidation>
    <dataValidation type="list" allowBlank="1" showInputMessage="1" showErrorMessage="1" sqref="F226:F227" xr:uid="{00000000-0002-0000-0300-000008000000}">
      <formula1>$AN$219:$AN$225</formula1>
    </dataValidation>
    <dataValidation type="list" allowBlank="1" showInputMessage="1" showErrorMessage="1" sqref="H225 F225" xr:uid="{00000000-0002-0000-0300-000009000000}">
      <formula1>$AR$219:$AR$224</formula1>
    </dataValidation>
    <dataValidation type="list" allowBlank="1" showInputMessage="1" showErrorMessage="1" sqref="J227:K227" xr:uid="{00000000-0002-0000-0300-00000A000000}">
      <formula1>$AC$219:$AC$226</formula1>
    </dataValidation>
    <dataValidation type="list" allowBlank="1" showInputMessage="1" showErrorMessage="1" sqref="F223:F224 H224" xr:uid="{00000000-0002-0000-0300-00000B000000}">
      <formula1>$AJ$219:$AJ$227</formula1>
    </dataValidation>
    <dataValidation type="list" allowBlank="1" showInputMessage="1" showErrorMessage="1" sqref="G222 G224:G225" xr:uid="{00000000-0002-0000-0300-00000C000000}">
      <formula1>$W$219:$W$222</formula1>
    </dataValidation>
    <dataValidation type="list" allowBlank="1" showInputMessage="1" showErrorMessage="1" sqref="E221:E227" xr:uid="{00000000-0002-0000-0300-00000E000000}">
      <formula1>$U$219:$U$222</formula1>
    </dataValidation>
    <dataValidation type="list" allowBlank="1" showInputMessage="1" showErrorMessage="1" sqref="F221:F222 H222" xr:uid="{00000000-0002-0000-0300-00000F000000}">
      <formula1>$AF$219:$AF$226</formula1>
    </dataValidation>
    <dataValidation type="list" showInputMessage="1" showErrorMessage="1" sqref="C77:C78" xr:uid="{00000000-0002-0000-0300-000012000000}">
      <formula1>$P$270:$P$273</formula1>
    </dataValidation>
    <dataValidation type="list" allowBlank="1" showInputMessage="1" showErrorMessage="1" sqref="AK125" xr:uid="{00000000-0002-0000-0300-000013000000}">
      <formula1>Aantal</formula1>
    </dataValidation>
    <dataValidation type="list" allowBlank="1" showInputMessage="1" showErrorMessage="1" sqref="M135" xr:uid="{00000000-0002-0000-0300-000014000000}">
      <formula1>$AX$1:$AX$19</formula1>
    </dataValidation>
    <dataValidation type="list" allowBlank="1" showInputMessage="1" showErrorMessage="1" sqref="M133" xr:uid="{00000000-0002-0000-0300-000015000000}">
      <formula1>$BG$1:$BG$19</formula1>
    </dataValidation>
    <dataValidation type="list" allowBlank="1" showInputMessage="1" showErrorMessage="1" sqref="M136" xr:uid="{00000000-0002-0000-0300-000016000000}">
      <formula1>$BA$1:$BA$19</formula1>
    </dataValidation>
    <dataValidation type="list" allowBlank="1" showInputMessage="1" showErrorMessage="1" sqref="Q137 M137" xr:uid="{00000000-0002-0000-0300-000017000000}">
      <formula1>$BD$1:$BD$19</formula1>
    </dataValidation>
    <dataValidation type="list" allowBlank="1" showInputMessage="1" showErrorMessage="1" sqref="M134" xr:uid="{00000000-0002-0000-0300-000018000000}">
      <formula1>$CA$1:$CA$4</formula1>
    </dataValidation>
    <dataValidation type="list" allowBlank="1" showInputMessage="1" showErrorMessage="1" sqref="M129" xr:uid="{00000000-0002-0000-0300-000019000000}">
      <formula1>$BN$1:$BN$17</formula1>
    </dataValidation>
    <dataValidation type="list" allowBlank="1" showInputMessage="1" showErrorMessage="1" sqref="M130" xr:uid="{00000000-0002-0000-0300-00001A000000}">
      <formula1>$BQ$1:$BQ$17</formula1>
    </dataValidation>
    <dataValidation type="list" allowBlank="1" showInputMessage="1" showErrorMessage="1" sqref="M131" xr:uid="{00000000-0002-0000-0300-00001B000000}">
      <formula1>$BT$1:$BT$17</formula1>
    </dataValidation>
    <dataValidation type="list" allowBlank="1" showInputMessage="1" showErrorMessage="1" sqref="M132" xr:uid="{00000000-0002-0000-0300-00001C000000}">
      <formula1>$BW$1:$BW$17</formula1>
    </dataValidation>
    <dataValidation type="list" showInputMessage="1" showErrorMessage="1" sqref="D188:H188 D189:D217" xr:uid="{00000000-0002-0000-0300-00001D000000}">
      <formula1>$BE$177:$BE$182</formula1>
    </dataValidation>
    <dataValidation type="list" allowBlank="1" showInputMessage="1" showErrorMessage="1" sqref="I176:M179 I170:I175" xr:uid="{00000000-0002-0000-0300-00001E000000}">
      <formula1>$BE$163:$BE$174</formula1>
    </dataValidation>
    <dataValidation type="list" allowBlank="1" showInputMessage="1" showErrorMessage="1" sqref="M128" xr:uid="{00000000-0002-0000-0300-00001F000000}">
      <formula1>$BK$1:$BK$17</formula1>
    </dataValidation>
    <dataValidation type="list" allowBlank="1" showInputMessage="1" showErrorMessage="1" sqref="M127" xr:uid="{00000000-0002-0000-0300-000020000000}">
      <formula1>$AN$1:$AN$7</formula1>
    </dataValidation>
    <dataValidation type="list" allowBlank="1" showInputMessage="1" showErrorMessage="1" sqref="B134 H134 D134 F134 J134" xr:uid="{00000000-0002-0000-0300-000021000000}">
      <formula1>$R$134:$R$137</formula1>
    </dataValidation>
    <dataValidation type="list" allowBlank="1" showInputMessage="1" showErrorMessage="1" sqref="J139:J149 K140:M149" xr:uid="{00000000-0002-0000-0300-000022000000}">
      <formula1>$BE$139:$BE$149</formula1>
    </dataValidation>
    <dataValidation type="list" allowBlank="1" showInputMessage="1" showErrorMessage="1" sqref="E151:H151" xr:uid="{00000000-0002-0000-0300-000023000000}">
      <formula1>$BE$151:$BE$159</formula1>
    </dataValidation>
    <dataValidation type="list" allowBlank="1" showInputMessage="1" showErrorMessage="1" sqref="I152:M152" xr:uid="{00000000-0002-0000-0300-000024000000}">
      <formula1>$BJ$139:$BJ$161</formula1>
    </dataValidation>
    <dataValidation type="list" allowBlank="1" showInputMessage="1" showErrorMessage="1" sqref="I153:M153" xr:uid="{00000000-0002-0000-0300-000025000000}">
      <formula1>$BM$139:$BM$161</formula1>
    </dataValidation>
    <dataValidation type="list" allowBlank="1" showInputMessage="1" showErrorMessage="1" sqref="I154:M154" xr:uid="{00000000-0002-0000-0300-000026000000}">
      <formula1>$BP$139:$BP$161</formula1>
    </dataValidation>
    <dataValidation type="list" allowBlank="1" showInputMessage="1" showErrorMessage="1" sqref="I155:M155" xr:uid="{00000000-0002-0000-0300-000027000000}">
      <formula1>$BS$139:$BS$161</formula1>
    </dataValidation>
    <dataValidation type="list" allowBlank="1" showInputMessage="1" showErrorMessage="1" sqref="I156:M156" xr:uid="{00000000-0002-0000-0300-000028000000}">
      <formula1>$BV$139:$BV$161</formula1>
    </dataValidation>
    <dataValidation type="list" allowBlank="1" showInputMessage="1" showErrorMessage="1" sqref="I157:M157" xr:uid="{00000000-0002-0000-0300-000029000000}">
      <formula1>$BY$139:$BY$161</formula1>
    </dataValidation>
    <dataValidation type="list" allowBlank="1" showInputMessage="1" showErrorMessage="1" sqref="I158:M158" xr:uid="{00000000-0002-0000-0300-00002A000000}">
      <formula1>$CB$139:$CB$161</formula1>
    </dataValidation>
    <dataValidation type="list" allowBlank="1" showInputMessage="1" showErrorMessage="1" sqref="J160:M167 J181:M182" xr:uid="{00000000-0002-0000-0300-00002B000000}">
      <formula1>$BJ$163:$BJ$173</formula1>
    </dataValidation>
    <dataValidation type="list" allowBlank="1" showInputMessage="1" showErrorMessage="1" sqref="J188:M188 I188:I217" xr:uid="{00000000-0002-0000-0300-00002D000000}">
      <formula1>$BE$185:$BE$216</formula1>
    </dataValidation>
    <dataValidation type="list" allowBlank="1" showInputMessage="1" showErrorMessage="1" sqref="E139:I149" xr:uid="{00000000-0002-0000-0300-00002E000000}">
      <formula1>$AW$139:$AW$169</formula1>
    </dataValidation>
    <dataValidation type="list" allowBlank="1" showInputMessage="1" showErrorMessage="1" sqref="E181:I182" xr:uid="{00000000-0002-0000-0300-00002F000000}">
      <formula1>$AW$171:$AW$174</formula1>
    </dataValidation>
    <dataValidation type="list" allowBlank="1" showInputMessage="1" showErrorMessage="1" sqref="E169:H169" xr:uid="{00000000-0002-0000-0300-000030000000}">
      <formula1>$AW$188:$AW$198</formula1>
    </dataValidation>
    <dataValidation type="list" allowBlank="1" showInputMessage="1" showErrorMessage="1" sqref="B128:J128" xr:uid="{00000000-0002-0000-0300-000031000000}">
      <formula1>$AA$121:$AA$135</formula1>
    </dataValidation>
    <dataValidation type="list" allowBlank="1" showInputMessage="1" showErrorMessage="1" sqref="E160:I167" xr:uid="{00000000-0002-0000-0300-000032000000}">
      <formula1>$AW$176:$AW$187</formula1>
    </dataValidation>
    <dataValidation type="list" allowBlank="1" showInputMessage="1" showErrorMessage="1" sqref="B123:L123" xr:uid="{00000000-0002-0000-0300-000033000000}">
      <formula1>$V$58:$V$63</formula1>
    </dataValidation>
    <dataValidation type="list" allowBlank="1" showInputMessage="1" showErrorMessage="1" sqref="B124:J124" xr:uid="{00000000-0002-0000-0300-000034000000}">
      <formula1>$V$121:$V$131</formula1>
    </dataValidation>
    <dataValidation type="list" allowBlank="1" showInputMessage="1" showErrorMessage="1" sqref="B129:J129" xr:uid="{00000000-0002-0000-0300-000035000000}">
      <formula1>$AD$121:$AD$135</formula1>
    </dataValidation>
    <dataValidation type="list" allowBlank="1" showInputMessage="1" showErrorMessage="1" sqref="B130:J130" xr:uid="{00000000-0002-0000-0300-000036000000}">
      <formula1>$AG$121:$AG$135</formula1>
    </dataValidation>
    <dataValidation type="list" allowBlank="1" showInputMessage="1" showErrorMessage="1" sqref="B131:J131" xr:uid="{00000000-0002-0000-0300-000037000000}">
      <formula1>$AJ$121:$AJ$135</formula1>
    </dataValidation>
    <dataValidation type="list" allowBlank="1" showInputMessage="1" showErrorMessage="1" sqref="B132:J132" xr:uid="{00000000-0002-0000-0300-000038000000}">
      <formula1>$AM$121:$AM$135</formula1>
    </dataValidation>
    <dataValidation type="list" allowBlank="1" showInputMessage="1" showErrorMessage="1" sqref="B133:J133" xr:uid="{00000000-0002-0000-0300-000039000000}">
      <formula1>$BA$34:$BA$55</formula1>
    </dataValidation>
    <dataValidation type="list" allowBlank="1" showInputMessage="1" showErrorMessage="1" sqref="B135:J135" xr:uid="{00000000-0002-0000-0300-00003A000000}">
      <formula1>$BE$34:$BE$54</formula1>
    </dataValidation>
    <dataValidation type="list" allowBlank="1" showInputMessage="1" showErrorMessage="1" sqref="B136:J136" xr:uid="{00000000-0002-0000-0300-00003B000000}">
      <formula1>$BH$34:$BH$54</formula1>
    </dataValidation>
    <dataValidation type="list" allowBlank="1" showInputMessage="1" showErrorMessage="1" sqref="B137:J137" xr:uid="{00000000-0002-0000-0300-00003C000000}">
      <formula1>$BK$34:$BK$54</formula1>
    </dataValidation>
    <dataValidation type="list" allowBlank="1" showInputMessage="1" showErrorMessage="1" sqref="B127:J127" xr:uid="{00000000-0002-0000-0300-00003D000000}">
      <formula1>$AW$121:$AW$126</formula1>
    </dataValidation>
    <dataValidation type="list" allowBlank="1" showInputMessage="1" showErrorMessage="1" sqref="I221:I222" xr:uid="{00000000-0002-0000-0300-00003E000000}">
      <formula1>$U$224:$U$227</formula1>
    </dataValidation>
    <dataValidation type="list" allowBlank="1" showInputMessage="1" showErrorMessage="1" sqref="L221:L222" xr:uid="{00000000-0002-0000-0300-00003F000000}">
      <formula1>$Z$219:$Z$227</formula1>
    </dataValidation>
    <dataValidation type="list" showInputMessage="1" showErrorMessage="1" sqref="J77:M78" xr:uid="{00000000-0002-0000-0300-000040000000}">
      <formula1>$P$276:$P$279</formula1>
    </dataValidation>
  </dataValidations>
  <pageMargins left="0.11811023622047245" right="0.11811023622047245" top="0.15748031496062992" bottom="0.19685039370078741" header="0.15748031496062992" footer="0.19685039370078741"/>
  <pageSetup paperSize="9" scale="11" orientation="landscape" horizontalDpi="4294967293" verticalDpi="0" r:id="rId1"/>
  <ignoredErrors>
    <ignoredError sqref="Z149 Q239:AN256 S257:W260 Q229:R238 T234:AN238 T229:AI229 AK229:AN229 T230:AI230 AK230:AN230 T231:AI233 AK231:AN233 H152:H158 Q160:Q167" evalError="1"/>
    <ignoredError sqref="L18 Q225 N225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CM585"/>
  <sheetViews>
    <sheetView showGridLines="0" showRowColHeaders="0" workbookViewId="0"/>
  </sheetViews>
  <sheetFormatPr defaultRowHeight="14.85"/>
  <cols>
    <col min="1" max="1" width="53.42578125" style="231" customWidth="1"/>
    <col min="2" max="2" width="10.28515625" style="231" customWidth="1"/>
    <col min="3" max="3" width="9.140625" style="231"/>
    <col min="4" max="4" width="5.7109375" style="231" customWidth="1"/>
    <col min="5" max="5" width="9.7109375" style="231" customWidth="1"/>
    <col min="6" max="6" width="7.7109375" style="231" customWidth="1"/>
    <col min="7" max="7" width="9.42578125" style="231" customWidth="1"/>
    <col min="8" max="8" width="7.7109375" style="231" customWidth="1"/>
    <col min="9" max="9" width="10.85546875" style="231" customWidth="1"/>
    <col min="10" max="10" width="35.7109375" style="231" customWidth="1"/>
    <col min="11" max="11" width="34.5703125" style="231" customWidth="1"/>
    <col min="12" max="13" width="10.7109375" style="231" customWidth="1"/>
    <col min="14" max="14" width="10.5703125" style="231" bestFit="1" customWidth="1"/>
    <col min="15" max="15" width="11.7109375" style="231" customWidth="1"/>
    <col min="16" max="16" width="28.5703125" style="231" customWidth="1"/>
    <col min="17" max="17" width="26.140625" style="231" customWidth="1"/>
    <col min="18" max="18" width="11.7109375" style="231" customWidth="1"/>
    <col min="19" max="19" width="27.85546875" style="231" customWidth="1"/>
    <col min="20" max="20" width="41" style="231" customWidth="1"/>
    <col min="21" max="21" width="58.5703125" style="231" customWidth="1"/>
    <col min="22" max="22" width="11.140625" style="231" customWidth="1"/>
    <col min="23" max="23" width="27.5703125" style="231" customWidth="1"/>
    <col min="24" max="24" width="33.28515625" style="231" customWidth="1"/>
    <col min="25" max="25" width="32.42578125" style="231" customWidth="1"/>
    <col min="26" max="28" width="11.7109375" style="231" customWidth="1"/>
    <col min="29" max="42" width="9.140625" style="231"/>
    <col min="43" max="43" width="31" style="231" customWidth="1"/>
    <col min="44" max="16384" width="9.140625" style="231"/>
  </cols>
  <sheetData>
    <row r="1" spans="2:75" ht="40.450000000000003" customHeight="1">
      <c r="B1" s="1413" t="s">
        <v>442</v>
      </c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5"/>
      <c r="N1" s="315"/>
      <c r="O1" s="315"/>
      <c r="P1" s="595"/>
      <c r="Q1" s="595"/>
      <c r="R1" s="315"/>
      <c r="S1" s="595"/>
      <c r="T1" s="595"/>
      <c r="U1" s="595"/>
      <c r="V1" s="595"/>
      <c r="W1" s="316"/>
      <c r="X1" s="596"/>
      <c r="Y1" s="315"/>
      <c r="Z1" s="315"/>
      <c r="AA1" s="315"/>
      <c r="AB1" s="596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6"/>
      <c r="AR1" s="317"/>
      <c r="AS1" s="318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</row>
    <row r="2" spans="2:75" ht="18" customHeight="1">
      <c r="B2" s="293"/>
      <c r="C2" s="233"/>
      <c r="D2" s="232"/>
      <c r="E2" s="234"/>
      <c r="F2" s="1581">
        <f>PRIJZEN!O5</f>
        <v>9.5</v>
      </c>
      <c r="G2" s="1581"/>
      <c r="H2" s="1581"/>
      <c r="I2" s="1581"/>
      <c r="J2" s="515">
        <f>PRIJZEN!O6</f>
        <v>11.5</v>
      </c>
      <c r="K2" s="516">
        <f>PRIJZEN!O7</f>
        <v>15.5</v>
      </c>
      <c r="L2" s="1412"/>
      <c r="M2" s="1412"/>
      <c r="N2" s="603"/>
      <c r="O2" s="315"/>
      <c r="P2" s="315"/>
      <c r="Q2" s="315"/>
      <c r="R2" s="315"/>
      <c r="S2" s="315"/>
      <c r="T2" s="315"/>
      <c r="U2" s="315"/>
      <c r="V2" s="315"/>
      <c r="W2" s="315"/>
      <c r="X2" s="317"/>
      <c r="Y2" s="315"/>
      <c r="Z2" s="315"/>
      <c r="AA2" s="315"/>
      <c r="AB2" s="317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20"/>
      <c r="AR2" s="317"/>
      <c r="AS2" s="317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</row>
    <row r="3" spans="2:75" ht="26.2" customHeight="1">
      <c r="B3" s="1416" t="s">
        <v>69</v>
      </c>
      <c r="C3" s="1417"/>
      <c r="D3" s="1417"/>
      <c r="E3" s="1418"/>
      <c r="F3" s="1422" t="s">
        <v>363</v>
      </c>
      <c r="G3" s="1423"/>
      <c r="H3" s="1423"/>
      <c r="I3" s="1424"/>
      <c r="J3" s="235" t="s">
        <v>364</v>
      </c>
      <c r="K3" s="236" t="s">
        <v>365</v>
      </c>
      <c r="L3" s="1425" t="str">
        <f>IF($F$5="klik &amp; kies aantal personen ---&gt;","",SUM($F$5*PRIJZEN!O5))</f>
        <v/>
      </c>
      <c r="M3" s="1426"/>
      <c r="N3" s="387"/>
      <c r="O3" s="387"/>
      <c r="P3" s="387"/>
      <c r="Q3" s="315"/>
      <c r="R3" s="387"/>
      <c r="S3" s="315"/>
      <c r="T3" s="315"/>
      <c r="U3" s="387"/>
      <c r="V3" s="387"/>
      <c r="W3" s="321"/>
      <c r="X3" s="317"/>
      <c r="Y3" s="315"/>
      <c r="Z3" s="315"/>
      <c r="AA3" s="315"/>
      <c r="AB3" s="317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20"/>
      <c r="AR3" s="317"/>
      <c r="AS3" s="317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</row>
    <row r="4" spans="2:75" ht="26.2" customHeight="1" thickBot="1">
      <c r="B4" s="1419"/>
      <c r="C4" s="1420"/>
      <c r="D4" s="1420"/>
      <c r="E4" s="1421"/>
      <c r="F4" s="1427" t="s">
        <v>644</v>
      </c>
      <c r="G4" s="1428"/>
      <c r="H4" s="1428"/>
      <c r="I4" s="1429"/>
      <c r="J4" s="511" t="s">
        <v>645</v>
      </c>
      <c r="K4" s="512" t="s">
        <v>646</v>
      </c>
      <c r="L4" s="1425" t="str">
        <f>IF($J$5="klik &amp; kies aantal personen ---&gt;","",SUM($J$5*PRIJZEN!O6))</f>
        <v/>
      </c>
      <c r="M4" s="1426"/>
      <c r="N4" s="387"/>
      <c r="O4" s="387"/>
      <c r="P4" s="387"/>
      <c r="Q4" s="315"/>
      <c r="R4" s="387"/>
      <c r="S4" s="315"/>
      <c r="T4" s="315"/>
      <c r="U4" s="387"/>
      <c r="V4" s="387"/>
      <c r="W4" s="321"/>
      <c r="X4" s="317"/>
      <c r="Y4" s="315"/>
      <c r="Z4" s="315"/>
      <c r="AA4" s="315"/>
      <c r="AB4" s="317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20"/>
      <c r="AR4" s="317"/>
      <c r="AS4" s="317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261"/>
      <c r="BJ4" s="261"/>
      <c r="BK4" s="261"/>
      <c r="BL4" s="261"/>
      <c r="BM4" s="261"/>
      <c r="BN4" s="261"/>
      <c r="BO4" s="261"/>
      <c r="BP4" s="261"/>
      <c r="BQ4" s="261"/>
      <c r="BR4" s="261"/>
      <c r="BS4" s="261"/>
      <c r="BT4" s="261"/>
      <c r="BU4" s="261"/>
      <c r="BV4" s="261"/>
      <c r="BW4" s="261"/>
    </row>
    <row r="5" spans="2:75" ht="26.2" customHeight="1" thickBot="1">
      <c r="B5" s="1419"/>
      <c r="C5" s="1420"/>
      <c r="D5" s="1420"/>
      <c r="E5" s="1420"/>
      <c r="F5" s="1430" t="s">
        <v>317</v>
      </c>
      <c r="G5" s="1431"/>
      <c r="H5" s="1431"/>
      <c r="I5" s="1432"/>
      <c r="J5" s="370" t="s">
        <v>317</v>
      </c>
      <c r="K5" s="371" t="s">
        <v>317</v>
      </c>
      <c r="L5" s="1433" t="str">
        <f>IF($K$5="klik &amp; kies aantal personen ---&gt;","",SUM($K$5*PRIJZEN!O7))</f>
        <v/>
      </c>
      <c r="M5" s="1434"/>
      <c r="N5" s="387"/>
      <c r="O5" s="387"/>
      <c r="P5" s="387"/>
      <c r="Q5" s="388"/>
      <c r="R5" s="387"/>
      <c r="S5" s="388"/>
      <c r="T5" s="387"/>
      <c r="U5" s="387"/>
      <c r="V5" s="387"/>
      <c r="W5" s="321"/>
      <c r="X5" s="317"/>
      <c r="Y5" s="315"/>
      <c r="Z5" s="315"/>
      <c r="AA5" s="315"/>
      <c r="AB5" s="317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20"/>
      <c r="AR5" s="317"/>
      <c r="AS5" s="317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261"/>
      <c r="BJ5" s="261"/>
      <c r="BK5" s="261"/>
      <c r="BL5" s="261"/>
      <c r="BM5" s="261"/>
      <c r="BN5" s="261"/>
      <c r="BO5" s="261"/>
      <c r="BP5" s="261"/>
      <c r="BQ5" s="261"/>
      <c r="BR5" s="261"/>
      <c r="BS5" s="261"/>
      <c r="BT5" s="261"/>
      <c r="BU5" s="261"/>
      <c r="BV5" s="261"/>
      <c r="BW5" s="261"/>
    </row>
    <row r="6" spans="2:75" ht="20.05" customHeight="1">
      <c r="B6" s="1419" t="s">
        <v>367</v>
      </c>
      <c r="C6" s="1420"/>
      <c r="D6" s="1420"/>
      <c r="E6" s="1421"/>
      <c r="F6" s="1440" t="s">
        <v>322</v>
      </c>
      <c r="G6" s="1441"/>
      <c r="H6" s="1441"/>
      <c r="I6" s="1442"/>
      <c r="J6" s="262" t="s">
        <v>368</v>
      </c>
      <c r="K6" s="263" t="s">
        <v>369</v>
      </c>
      <c r="L6" s="237"/>
      <c r="M6" s="238"/>
      <c r="N6" s="387"/>
      <c r="O6" s="387"/>
      <c r="P6" s="387"/>
      <c r="Q6" s="315"/>
      <c r="R6" s="387"/>
      <c r="S6" s="387"/>
      <c r="T6" s="387"/>
      <c r="U6" s="387"/>
      <c r="V6" s="387"/>
      <c r="W6" s="321"/>
      <c r="X6" s="317"/>
      <c r="Y6" s="315"/>
      <c r="Z6" s="315"/>
      <c r="AA6" s="315"/>
      <c r="AB6" s="317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20"/>
      <c r="AR6" s="317"/>
      <c r="AS6" s="321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261"/>
      <c r="BJ6" s="261"/>
      <c r="BK6" s="261"/>
      <c r="BL6" s="261"/>
      <c r="BM6" s="261"/>
      <c r="BN6" s="261"/>
      <c r="BO6" s="261"/>
      <c r="BP6" s="261"/>
      <c r="BQ6" s="261"/>
      <c r="BR6" s="261"/>
      <c r="BS6" s="261"/>
      <c r="BT6" s="261"/>
      <c r="BU6" s="261"/>
      <c r="BV6" s="261"/>
      <c r="BW6" s="261"/>
    </row>
    <row r="7" spans="2:75" ht="20.05" customHeight="1">
      <c r="B7" s="1419"/>
      <c r="C7" s="1420"/>
      <c r="D7" s="1420"/>
      <c r="E7" s="1421"/>
      <c r="F7" s="1443" t="s">
        <v>330</v>
      </c>
      <c r="G7" s="1444"/>
      <c r="H7" s="1444"/>
      <c r="I7" s="1445"/>
      <c r="J7" s="264" t="s">
        <v>330</v>
      </c>
      <c r="K7" s="265" t="s">
        <v>334</v>
      </c>
      <c r="L7" s="237"/>
      <c r="M7" s="238"/>
      <c r="N7" s="387"/>
      <c r="O7" s="387"/>
      <c r="P7" s="387"/>
      <c r="Q7" s="315"/>
      <c r="R7" s="387"/>
      <c r="S7" s="387"/>
      <c r="T7" s="387"/>
      <c r="U7" s="387"/>
      <c r="V7" s="387"/>
      <c r="W7" s="321"/>
      <c r="X7" s="317"/>
      <c r="Y7" s="315"/>
      <c r="Z7" s="315"/>
      <c r="AA7" s="315"/>
      <c r="AB7" s="317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20"/>
      <c r="AR7" s="317"/>
      <c r="AS7" s="321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261"/>
      <c r="BJ7" s="261"/>
      <c r="BK7" s="261"/>
      <c r="BL7" s="261"/>
      <c r="BM7" s="261"/>
      <c r="BN7" s="261"/>
      <c r="BO7" s="261"/>
      <c r="BP7" s="261"/>
      <c r="BQ7" s="261"/>
      <c r="BR7" s="261"/>
      <c r="BS7" s="261"/>
      <c r="BT7" s="261"/>
      <c r="BU7" s="261"/>
      <c r="BV7" s="261"/>
      <c r="BW7" s="261"/>
    </row>
    <row r="8" spans="2:75" ht="20.05" customHeight="1">
      <c r="B8" s="1419"/>
      <c r="C8" s="1420"/>
      <c r="D8" s="1420"/>
      <c r="E8" s="1421"/>
      <c r="F8" s="1443" t="s">
        <v>370</v>
      </c>
      <c r="G8" s="1444"/>
      <c r="H8" s="1444"/>
      <c r="I8" s="1445"/>
      <c r="J8" s="264" t="s">
        <v>351</v>
      </c>
      <c r="K8" s="265" t="s">
        <v>330</v>
      </c>
      <c r="L8" s="237"/>
      <c r="M8" s="238"/>
      <c r="N8" s="387"/>
      <c r="O8" s="387"/>
      <c r="P8" s="387"/>
      <c r="Q8" s="388"/>
      <c r="R8" s="387"/>
      <c r="S8" s="387"/>
      <c r="T8" s="387"/>
      <c r="U8" s="387"/>
      <c r="V8" s="387"/>
      <c r="W8" s="321"/>
      <c r="X8" s="317"/>
      <c r="Y8" s="315"/>
      <c r="Z8" s="315"/>
      <c r="AA8" s="315"/>
      <c r="AB8" s="317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20"/>
      <c r="AR8" s="317"/>
      <c r="AS8" s="321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</row>
    <row r="9" spans="2:75" ht="20.05" customHeight="1">
      <c r="B9" s="1419" t="s">
        <v>372</v>
      </c>
      <c r="C9" s="1420"/>
      <c r="D9" s="1420"/>
      <c r="E9" s="1421"/>
      <c r="F9" s="1443" t="s">
        <v>321</v>
      </c>
      <c r="G9" s="1444"/>
      <c r="H9" s="1444"/>
      <c r="I9" s="1445"/>
      <c r="J9" s="266" t="s">
        <v>321</v>
      </c>
      <c r="K9" s="265" t="s">
        <v>517</v>
      </c>
      <c r="L9" s="237"/>
      <c r="M9" s="238"/>
      <c r="N9" s="387"/>
      <c r="O9" s="387"/>
      <c r="P9" s="387"/>
      <c r="Q9" s="388"/>
      <c r="R9" s="387"/>
      <c r="S9" s="387"/>
      <c r="T9" s="387"/>
      <c r="U9" s="387"/>
      <c r="V9" s="387"/>
      <c r="W9" s="321"/>
      <c r="X9" s="317"/>
      <c r="Y9" s="315"/>
      <c r="Z9" s="315"/>
      <c r="AA9" s="315"/>
      <c r="AB9" s="317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20"/>
      <c r="AR9" s="317"/>
      <c r="AS9" s="321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261"/>
      <c r="BJ9" s="261"/>
      <c r="BK9" s="261"/>
      <c r="BL9" s="261"/>
      <c r="BM9" s="261"/>
      <c r="BN9" s="261"/>
      <c r="BO9" s="261"/>
      <c r="BP9" s="261"/>
      <c r="BQ9" s="261"/>
      <c r="BR9" s="261"/>
      <c r="BS9" s="261"/>
      <c r="BT9" s="261"/>
      <c r="BU9" s="261"/>
      <c r="BV9" s="261"/>
      <c r="BW9" s="261"/>
    </row>
    <row r="10" spans="2:75" ht="20.05" customHeight="1">
      <c r="B10" s="1419"/>
      <c r="C10" s="1420"/>
      <c r="D10" s="1420"/>
      <c r="E10" s="1421"/>
      <c r="F10" s="267"/>
      <c r="G10" s="268"/>
      <c r="H10" s="268"/>
      <c r="I10" s="269"/>
      <c r="J10" s="266" t="s">
        <v>323</v>
      </c>
      <c r="K10" s="265" t="s">
        <v>393</v>
      </c>
      <c r="L10" s="237"/>
      <c r="M10" s="238"/>
      <c r="N10" s="387"/>
      <c r="O10" s="387"/>
      <c r="P10" s="387"/>
      <c r="Q10" s="388"/>
      <c r="R10" s="387"/>
      <c r="S10" s="387"/>
      <c r="T10" s="387"/>
      <c r="U10" s="387"/>
      <c r="V10" s="387"/>
      <c r="W10" s="321"/>
      <c r="X10" s="317"/>
      <c r="Y10" s="315"/>
      <c r="Z10" s="315"/>
      <c r="AA10" s="315"/>
      <c r="AB10" s="317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20"/>
      <c r="AR10" s="317"/>
      <c r="AS10" s="321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261"/>
      <c r="BJ10" s="261"/>
      <c r="BK10" s="261"/>
      <c r="BL10" s="261"/>
      <c r="BM10" s="261"/>
      <c r="BN10" s="261"/>
      <c r="BO10" s="261"/>
      <c r="BP10" s="261"/>
      <c r="BQ10" s="261"/>
      <c r="BR10" s="261"/>
      <c r="BS10" s="261"/>
      <c r="BT10" s="261"/>
      <c r="BU10" s="261"/>
      <c r="BV10" s="261"/>
      <c r="BW10" s="261"/>
    </row>
    <row r="11" spans="2:75" ht="20.05" customHeight="1">
      <c r="B11" s="1446"/>
      <c r="C11" s="1447"/>
      <c r="D11" s="1447"/>
      <c r="E11" s="1448"/>
      <c r="F11" s="267"/>
      <c r="G11" s="268"/>
      <c r="H11" s="268"/>
      <c r="I11" s="269"/>
      <c r="J11" s="267"/>
      <c r="K11" s="270" t="s">
        <v>341</v>
      </c>
      <c r="L11" s="237"/>
      <c r="M11" s="238"/>
      <c r="N11" s="387"/>
      <c r="O11" s="387"/>
      <c r="P11" s="387"/>
      <c r="Q11" s="388"/>
      <c r="R11" s="387"/>
      <c r="S11" s="387"/>
      <c r="T11" s="387"/>
      <c r="U11" s="387"/>
      <c r="V11" s="387"/>
      <c r="W11" s="321"/>
      <c r="X11" s="317"/>
      <c r="Y11" s="315"/>
      <c r="Z11" s="315"/>
      <c r="AA11" s="315"/>
      <c r="AB11" s="317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20"/>
      <c r="AR11" s="317"/>
      <c r="AS11" s="321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261"/>
      <c r="BJ11" s="261"/>
      <c r="BK11" s="261"/>
      <c r="BL11" s="261"/>
      <c r="BM11" s="261"/>
      <c r="BN11" s="261"/>
      <c r="BO11" s="261"/>
      <c r="BP11" s="261"/>
      <c r="BQ11" s="261"/>
      <c r="BR11" s="261"/>
      <c r="BS11" s="261"/>
      <c r="BT11" s="261"/>
      <c r="BU11" s="261"/>
      <c r="BV11" s="261"/>
      <c r="BW11" s="261"/>
    </row>
    <row r="12" spans="2:75" ht="18" customHeight="1">
      <c r="B12" s="239"/>
      <c r="C12" s="240"/>
      <c r="D12" s="240"/>
      <c r="E12" s="240"/>
      <c r="F12" s="1581">
        <f>PRIJZEN!O8</f>
        <v>13.5</v>
      </c>
      <c r="G12" s="1581"/>
      <c r="H12" s="1581"/>
      <c r="I12" s="1581"/>
      <c r="J12" s="517">
        <f>PRIJZEN!O9</f>
        <v>17.5</v>
      </c>
      <c r="K12" s="518">
        <f>PRIJZEN!O10</f>
        <v>19.95</v>
      </c>
      <c r="L12" s="241"/>
      <c r="M12" s="242"/>
      <c r="N12" s="387"/>
      <c r="O12" s="387"/>
      <c r="P12" s="387"/>
      <c r="Q12" s="388"/>
      <c r="R12" s="387"/>
      <c r="S12" s="387"/>
      <c r="T12" s="387"/>
      <c r="U12" s="387"/>
      <c r="V12" s="387"/>
      <c r="W12" s="321"/>
      <c r="X12" s="317"/>
      <c r="Y12" s="315"/>
      <c r="Z12" s="315"/>
      <c r="AA12" s="315"/>
      <c r="AB12" s="317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20"/>
      <c r="AR12" s="317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261"/>
      <c r="BJ12" s="261"/>
      <c r="BK12" s="261"/>
      <c r="BL12" s="261"/>
      <c r="BM12" s="261"/>
      <c r="BN12" s="261"/>
      <c r="BO12" s="261"/>
      <c r="BP12" s="261"/>
      <c r="BQ12" s="261"/>
      <c r="BR12" s="261"/>
      <c r="BS12" s="261"/>
      <c r="BT12" s="261"/>
      <c r="BU12" s="261"/>
      <c r="BV12" s="261"/>
      <c r="BW12" s="261"/>
    </row>
    <row r="13" spans="2:75" ht="26.2" customHeight="1">
      <c r="B13" s="1449" t="s">
        <v>374</v>
      </c>
      <c r="C13" s="1450"/>
      <c r="D13" s="1450"/>
      <c r="E13" s="1451"/>
      <c r="F13" s="1422" t="s">
        <v>375</v>
      </c>
      <c r="G13" s="1423"/>
      <c r="H13" s="1423"/>
      <c r="I13" s="1424"/>
      <c r="J13" s="235" t="s">
        <v>376</v>
      </c>
      <c r="K13" s="236" t="s">
        <v>377</v>
      </c>
      <c r="L13" s="1372" t="str">
        <f>IF($F$15="klik &amp; kies aantal personen ---&gt;","",SUM($F$15*PRIJZEN!O8))</f>
        <v/>
      </c>
      <c r="M13" s="1373"/>
      <c r="N13" s="387"/>
      <c r="O13" s="387"/>
      <c r="P13" s="387"/>
      <c r="Q13" s="599"/>
      <c r="R13" s="387"/>
      <c r="S13" s="387"/>
      <c r="T13" s="387"/>
      <c r="U13" s="387"/>
      <c r="V13" s="387"/>
      <c r="W13" s="321"/>
      <c r="X13" s="317"/>
      <c r="Y13" s="315"/>
      <c r="Z13" s="315"/>
      <c r="AA13" s="315"/>
      <c r="AB13" s="317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20"/>
      <c r="AR13" s="317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261"/>
      <c r="BJ13" s="261"/>
      <c r="BK13" s="261"/>
      <c r="BL13" s="261"/>
      <c r="BM13" s="261"/>
      <c r="BN13" s="261"/>
      <c r="BO13" s="261"/>
      <c r="BP13" s="261"/>
      <c r="BQ13" s="261"/>
      <c r="BR13" s="261"/>
      <c r="BS13" s="261"/>
      <c r="BT13" s="261"/>
      <c r="BU13" s="261"/>
      <c r="BV13" s="261"/>
      <c r="BW13" s="261"/>
    </row>
    <row r="14" spans="2:75" ht="26.2" customHeight="1" thickBot="1">
      <c r="B14" s="1398"/>
      <c r="C14" s="1399"/>
      <c r="D14" s="1399"/>
      <c r="E14" s="1400"/>
      <c r="F14" s="1374" t="s">
        <v>647</v>
      </c>
      <c r="G14" s="1375"/>
      <c r="H14" s="1375"/>
      <c r="I14" s="1376"/>
      <c r="J14" s="513" t="s">
        <v>648</v>
      </c>
      <c r="K14" s="514" t="s">
        <v>649</v>
      </c>
      <c r="L14" s="1396" t="str">
        <f>IF($J$15="klik &amp; kies aantal personen ---&gt;","",SUM($J$15*PRIJZEN!O9))</f>
        <v/>
      </c>
      <c r="M14" s="1397"/>
      <c r="N14" s="387"/>
      <c r="O14" s="387"/>
      <c r="P14" s="387"/>
      <c r="Q14" s="388"/>
      <c r="R14" s="387"/>
      <c r="S14" s="387"/>
      <c r="T14" s="387"/>
      <c r="U14" s="387"/>
      <c r="V14" s="387"/>
      <c r="W14" s="321"/>
      <c r="X14" s="317"/>
      <c r="Y14" s="315"/>
      <c r="Z14" s="315"/>
      <c r="AA14" s="315"/>
      <c r="AB14" s="317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20"/>
      <c r="AR14" s="317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</row>
    <row r="15" spans="2:75" ht="26.2" customHeight="1" thickBot="1">
      <c r="B15" s="1398" t="s">
        <v>69</v>
      </c>
      <c r="C15" s="1399"/>
      <c r="D15" s="1399"/>
      <c r="E15" s="1399"/>
      <c r="F15" s="1430" t="s">
        <v>317</v>
      </c>
      <c r="G15" s="1431"/>
      <c r="H15" s="1431"/>
      <c r="I15" s="1432"/>
      <c r="J15" s="370" t="s">
        <v>317</v>
      </c>
      <c r="K15" s="371" t="s">
        <v>317</v>
      </c>
      <c r="L15" s="1435" t="str">
        <f>IF($K$15="klik &amp; kies aantal personen ---&gt;","",SUM($K$15*PRIJZEN!O10))</f>
        <v/>
      </c>
      <c r="M15" s="1436"/>
      <c r="N15" s="387"/>
      <c r="O15" s="387"/>
      <c r="P15" s="387"/>
      <c r="Q15" s="388"/>
      <c r="R15" s="387"/>
      <c r="S15" s="387"/>
      <c r="T15" s="387"/>
      <c r="U15" s="387"/>
      <c r="V15" s="387"/>
      <c r="W15" s="321"/>
      <c r="X15" s="317"/>
      <c r="Y15" s="315"/>
      <c r="Z15" s="315"/>
      <c r="AA15" s="315"/>
      <c r="AB15" s="317"/>
      <c r="AC15" s="315"/>
      <c r="AD15" s="315"/>
      <c r="AE15" s="315"/>
      <c r="AF15" s="315"/>
      <c r="AG15" s="315"/>
      <c r="AH15" s="315"/>
      <c r="AI15" s="315"/>
      <c r="AJ15" s="315"/>
      <c r="AK15" s="315"/>
      <c r="AL15" s="315"/>
      <c r="AM15" s="315"/>
      <c r="AN15" s="315"/>
      <c r="AO15" s="315"/>
      <c r="AP15" s="315"/>
      <c r="AQ15" s="320"/>
      <c r="AR15" s="317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261"/>
      <c r="BJ15" s="261"/>
      <c r="BK15" s="261"/>
      <c r="BL15" s="261"/>
      <c r="BM15" s="261"/>
      <c r="BN15" s="261"/>
      <c r="BO15" s="261"/>
      <c r="BP15" s="261"/>
      <c r="BQ15" s="261"/>
      <c r="BR15" s="261"/>
      <c r="BS15" s="261"/>
      <c r="BT15" s="261"/>
      <c r="BU15" s="261"/>
      <c r="BV15" s="261"/>
      <c r="BW15" s="261"/>
    </row>
    <row r="16" spans="2:75" ht="26.2" customHeight="1">
      <c r="B16" s="1398"/>
      <c r="C16" s="1399"/>
      <c r="D16" s="1399"/>
      <c r="E16" s="1400"/>
      <c r="F16" s="1437" t="s">
        <v>382</v>
      </c>
      <c r="G16" s="1438"/>
      <c r="H16" s="1438"/>
      <c r="I16" s="1439"/>
      <c r="J16" s="493" t="s">
        <v>383</v>
      </c>
      <c r="K16" s="493" t="s">
        <v>384</v>
      </c>
      <c r="L16" s="237"/>
      <c r="M16" s="238"/>
      <c r="N16" s="387"/>
      <c r="O16" s="387"/>
      <c r="P16" s="387"/>
      <c r="Q16" s="388"/>
      <c r="R16" s="387"/>
      <c r="S16" s="387"/>
      <c r="T16" s="387"/>
      <c r="U16" s="387"/>
      <c r="V16" s="387"/>
      <c r="W16" s="321"/>
      <c r="X16" s="317"/>
      <c r="Y16" s="315"/>
      <c r="Z16" s="315"/>
      <c r="AA16" s="315"/>
      <c r="AB16" s="317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20"/>
      <c r="AR16" s="317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</row>
    <row r="17" spans="1:75" ht="26.2" customHeight="1">
      <c r="B17" s="1398" t="s">
        <v>379</v>
      </c>
      <c r="C17" s="1399"/>
      <c r="D17" s="1399"/>
      <c r="E17" s="1400"/>
      <c r="F17" s="1401" t="s">
        <v>382</v>
      </c>
      <c r="G17" s="1402"/>
      <c r="H17" s="1402"/>
      <c r="I17" s="1403"/>
      <c r="J17" s="493" t="s">
        <v>383</v>
      </c>
      <c r="K17" s="493" t="s">
        <v>384</v>
      </c>
      <c r="L17" s="237"/>
      <c r="M17" s="238"/>
      <c r="N17" s="387"/>
      <c r="O17" s="387"/>
      <c r="P17" s="387"/>
      <c r="Q17" s="388"/>
      <c r="R17" s="387"/>
      <c r="S17" s="387"/>
      <c r="T17" s="387"/>
      <c r="U17" s="387"/>
      <c r="V17" s="387"/>
      <c r="W17" s="321"/>
      <c r="X17" s="317"/>
      <c r="Y17" s="315"/>
      <c r="Z17" s="315"/>
      <c r="AA17" s="315"/>
      <c r="AB17" s="317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20"/>
      <c r="AR17" s="317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261"/>
      <c r="BJ17" s="261"/>
      <c r="BK17" s="261"/>
      <c r="BL17" s="261"/>
      <c r="BM17" s="261"/>
      <c r="BN17" s="261"/>
      <c r="BO17" s="261"/>
      <c r="BP17" s="261"/>
      <c r="BQ17" s="261"/>
      <c r="BR17" s="261"/>
      <c r="BS17" s="261"/>
      <c r="BT17" s="261"/>
      <c r="BU17" s="261"/>
      <c r="BV17" s="261"/>
      <c r="BW17" s="261"/>
    </row>
    <row r="18" spans="1:75" ht="26.2" customHeight="1">
      <c r="B18" s="1398"/>
      <c r="C18" s="1399"/>
      <c r="D18" s="1399"/>
      <c r="E18" s="1400"/>
      <c r="F18" s="1404" t="s">
        <v>382</v>
      </c>
      <c r="G18" s="1405"/>
      <c r="H18" s="1405"/>
      <c r="I18" s="1406"/>
      <c r="J18" s="493" t="s">
        <v>383</v>
      </c>
      <c r="K18" s="493" t="s">
        <v>384</v>
      </c>
      <c r="L18" s="237"/>
      <c r="M18" s="238"/>
      <c r="N18" s="387"/>
      <c r="O18" s="387"/>
      <c r="P18" s="387"/>
      <c r="Q18" s="388"/>
      <c r="R18" s="387"/>
      <c r="S18" s="387"/>
      <c r="T18" s="387"/>
      <c r="U18" s="387"/>
      <c r="V18" s="387"/>
      <c r="W18" s="321"/>
      <c r="X18" s="317"/>
      <c r="Y18" s="315"/>
      <c r="Z18" s="315"/>
      <c r="AA18" s="315"/>
      <c r="AB18" s="317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20"/>
      <c r="AR18" s="317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261"/>
      <c r="BJ18" s="261"/>
      <c r="BK18" s="261"/>
      <c r="BL18" s="261"/>
      <c r="BM18" s="261"/>
      <c r="BN18" s="261"/>
      <c r="BO18" s="261"/>
      <c r="BP18" s="261"/>
      <c r="BQ18" s="261"/>
      <c r="BR18" s="261"/>
      <c r="BS18" s="261"/>
      <c r="BT18" s="261"/>
      <c r="BU18" s="261"/>
      <c r="BV18" s="261"/>
      <c r="BW18" s="261"/>
    </row>
    <row r="19" spans="1:75" ht="26.2" customHeight="1">
      <c r="B19" s="1398" t="s">
        <v>372</v>
      </c>
      <c r="C19" s="1399"/>
      <c r="D19" s="1399"/>
      <c r="E19" s="1400"/>
      <c r="F19" s="1380"/>
      <c r="G19" s="1381"/>
      <c r="H19" s="1381"/>
      <c r="I19" s="1382"/>
      <c r="J19" s="493" t="s">
        <v>383</v>
      </c>
      <c r="K19" s="493" t="s">
        <v>384</v>
      </c>
      <c r="L19" s="237"/>
      <c r="M19" s="238"/>
      <c r="N19" s="387"/>
      <c r="O19" s="387"/>
      <c r="P19" s="387"/>
      <c r="Q19" s="388"/>
      <c r="R19" s="387"/>
      <c r="S19" s="387"/>
      <c r="T19" s="387"/>
      <c r="U19" s="387"/>
      <c r="V19" s="387"/>
      <c r="W19" s="321"/>
      <c r="X19" s="317"/>
      <c r="Y19" s="315"/>
      <c r="Z19" s="315"/>
      <c r="AA19" s="315"/>
      <c r="AB19" s="317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20"/>
      <c r="AR19" s="317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261"/>
      <c r="BJ19" s="261"/>
      <c r="BK19" s="261"/>
      <c r="BL19" s="261"/>
      <c r="BM19" s="261"/>
      <c r="BN19" s="261"/>
      <c r="BO19" s="261"/>
      <c r="BP19" s="261"/>
      <c r="BQ19" s="261"/>
      <c r="BR19" s="261"/>
      <c r="BS19" s="261"/>
      <c r="BT19" s="261"/>
      <c r="BU19" s="261"/>
      <c r="BV19" s="261"/>
      <c r="BW19" s="261"/>
    </row>
    <row r="20" spans="1:75" ht="26.2" customHeight="1">
      <c r="B20" s="1398"/>
      <c r="C20" s="1399"/>
      <c r="D20" s="1399"/>
      <c r="E20" s="1400"/>
      <c r="F20" s="1407" t="s">
        <v>385</v>
      </c>
      <c r="G20" s="1408"/>
      <c r="H20" s="1408"/>
      <c r="I20" s="1409"/>
      <c r="J20" s="399"/>
      <c r="K20" s="493" t="s">
        <v>384</v>
      </c>
      <c r="L20" s="237"/>
      <c r="M20" s="238"/>
      <c r="N20" s="387"/>
      <c r="O20" s="387"/>
      <c r="P20" s="387"/>
      <c r="Q20" s="388"/>
      <c r="R20" s="387"/>
      <c r="S20" s="387"/>
      <c r="T20" s="387"/>
      <c r="U20" s="387"/>
      <c r="V20" s="387"/>
      <c r="W20" s="321"/>
      <c r="X20" s="317"/>
      <c r="Y20" s="315"/>
      <c r="Z20" s="315"/>
      <c r="AA20" s="315"/>
      <c r="AB20" s="317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20"/>
      <c r="AR20" s="317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261"/>
      <c r="BJ20" s="261"/>
      <c r="BK20" s="261"/>
      <c r="BL20" s="261"/>
      <c r="BM20" s="261"/>
      <c r="BN20" s="261"/>
      <c r="BO20" s="261"/>
      <c r="BP20" s="261"/>
      <c r="BQ20" s="261"/>
      <c r="BR20" s="261"/>
      <c r="BS20" s="261"/>
      <c r="BT20" s="261"/>
      <c r="BU20" s="261"/>
      <c r="BV20" s="261"/>
      <c r="BW20" s="261"/>
    </row>
    <row r="21" spans="1:75" ht="26.2" customHeight="1">
      <c r="B21" s="243"/>
      <c r="C21" s="244"/>
      <c r="D21" s="244"/>
      <c r="E21" s="245"/>
      <c r="F21" s="1407" t="s">
        <v>385</v>
      </c>
      <c r="G21" s="1408"/>
      <c r="H21" s="1408"/>
      <c r="I21" s="1409"/>
      <c r="J21" s="494" t="s">
        <v>387</v>
      </c>
      <c r="K21" s="246"/>
      <c r="L21" s="237"/>
      <c r="M21" s="238"/>
      <c r="N21" s="387"/>
      <c r="O21" s="387"/>
      <c r="P21" s="387"/>
      <c r="Q21" s="388"/>
      <c r="R21" s="387"/>
      <c r="S21" s="387"/>
      <c r="T21" s="387"/>
      <c r="U21" s="387"/>
      <c r="V21" s="387"/>
      <c r="W21" s="321"/>
      <c r="X21" s="317"/>
      <c r="Y21" s="315"/>
      <c r="Z21" s="315"/>
      <c r="AA21" s="315"/>
      <c r="AB21" s="317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20"/>
      <c r="AR21" s="317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</row>
    <row r="22" spans="1:75" ht="26.2" customHeight="1">
      <c r="B22" s="247"/>
      <c r="C22" s="248"/>
      <c r="D22" s="248"/>
      <c r="E22" s="248"/>
      <c r="F22" s="1407" t="s">
        <v>385</v>
      </c>
      <c r="G22" s="1408"/>
      <c r="H22" s="1408"/>
      <c r="I22" s="1409"/>
      <c r="J22" s="494" t="s">
        <v>387</v>
      </c>
      <c r="K22" s="494" t="s">
        <v>388</v>
      </c>
      <c r="L22" s="237"/>
      <c r="M22" s="238"/>
      <c r="N22" s="387"/>
      <c r="O22" s="387"/>
      <c r="P22" s="387"/>
      <c r="Q22" s="387"/>
      <c r="R22" s="387"/>
      <c r="S22" s="387"/>
      <c r="T22" s="387"/>
      <c r="U22" s="387"/>
      <c r="V22" s="387"/>
      <c r="W22" s="321"/>
      <c r="X22" s="317"/>
      <c r="Y22" s="315"/>
      <c r="Z22" s="315"/>
      <c r="AA22" s="315"/>
      <c r="AB22" s="317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20"/>
      <c r="AR22" s="317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</row>
    <row r="23" spans="1:75" ht="26.2" customHeight="1">
      <c r="B23" s="247"/>
      <c r="C23" s="248"/>
      <c r="D23" s="248"/>
      <c r="E23" s="248"/>
      <c r="F23" s="1377"/>
      <c r="G23" s="1378"/>
      <c r="H23" s="1378"/>
      <c r="I23" s="1379"/>
      <c r="J23" s="494" t="s">
        <v>387</v>
      </c>
      <c r="K23" s="494" t="s">
        <v>388</v>
      </c>
      <c r="L23" s="237"/>
      <c r="M23" s="238"/>
      <c r="N23" s="387"/>
      <c r="O23" s="387"/>
      <c r="P23" s="387"/>
      <c r="Q23" s="387"/>
      <c r="R23" s="387"/>
      <c r="S23" s="387"/>
      <c r="T23" s="387"/>
      <c r="U23" s="387"/>
      <c r="V23" s="387"/>
      <c r="W23" s="321"/>
      <c r="X23" s="317"/>
      <c r="Y23" s="315"/>
      <c r="Z23" s="315"/>
      <c r="AA23" s="315"/>
      <c r="AB23" s="317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20"/>
      <c r="AR23" s="317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</row>
    <row r="24" spans="1:75" ht="26.2" customHeight="1">
      <c r="B24" s="247"/>
      <c r="C24" s="248"/>
      <c r="D24" s="248"/>
      <c r="E24" s="248"/>
      <c r="F24" s="1380" t="s">
        <v>620</v>
      </c>
      <c r="G24" s="1381"/>
      <c r="H24" s="1381"/>
      <c r="I24" s="1382"/>
      <c r="J24" s="494" t="s">
        <v>387</v>
      </c>
      <c r="K24" s="494" t="s">
        <v>388</v>
      </c>
      <c r="L24" s="237"/>
      <c r="M24" s="238"/>
      <c r="N24" s="387"/>
      <c r="O24" s="387"/>
      <c r="P24" s="387"/>
      <c r="Q24" s="387"/>
      <c r="R24" s="387"/>
      <c r="S24" s="387"/>
      <c r="T24" s="387"/>
      <c r="U24" s="387"/>
      <c r="V24" s="387"/>
      <c r="W24" s="321"/>
      <c r="X24" s="317"/>
      <c r="Y24" s="315"/>
      <c r="Z24" s="315"/>
      <c r="AA24" s="315"/>
      <c r="AB24" s="317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20"/>
      <c r="AR24" s="317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261"/>
      <c r="BJ24" s="261"/>
      <c r="BK24" s="261"/>
      <c r="BL24" s="261"/>
      <c r="BM24" s="261"/>
      <c r="BN24" s="261"/>
      <c r="BO24" s="261"/>
      <c r="BP24" s="261"/>
      <c r="BQ24" s="261"/>
      <c r="BR24" s="261"/>
      <c r="BS24" s="261"/>
      <c r="BT24" s="261"/>
      <c r="BU24" s="261"/>
      <c r="BV24" s="261"/>
      <c r="BW24" s="261"/>
    </row>
    <row r="25" spans="1:75" ht="26.2" customHeight="1">
      <c r="B25" s="247"/>
      <c r="C25" s="248"/>
      <c r="D25" s="248"/>
      <c r="E25" s="248"/>
      <c r="F25" s="1380" t="s">
        <v>621</v>
      </c>
      <c r="G25" s="1381"/>
      <c r="H25" s="1381"/>
      <c r="I25" s="1382"/>
      <c r="J25" s="249"/>
      <c r="K25" s="494" t="s">
        <v>388</v>
      </c>
      <c r="L25" s="237"/>
      <c r="M25" s="238"/>
      <c r="N25" s="387"/>
      <c r="O25" s="387"/>
      <c r="P25" s="387"/>
      <c r="Q25" s="387"/>
      <c r="R25" s="387"/>
      <c r="S25" s="387"/>
      <c r="T25" s="387"/>
      <c r="U25" s="387"/>
      <c r="V25" s="387"/>
      <c r="W25" s="321"/>
      <c r="X25" s="317"/>
      <c r="Y25" s="315"/>
      <c r="Z25" s="315"/>
      <c r="AA25" s="315"/>
      <c r="AB25" s="317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  <c r="AN25" s="315"/>
      <c r="AO25" s="315"/>
      <c r="AP25" s="315"/>
      <c r="AQ25" s="320"/>
      <c r="AR25" s="317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261"/>
      <c r="BJ25" s="261"/>
      <c r="BK25" s="261"/>
      <c r="BL25" s="261"/>
      <c r="BM25" s="261"/>
      <c r="BN25" s="261"/>
      <c r="BO25" s="261"/>
      <c r="BP25" s="261"/>
      <c r="BQ25" s="261"/>
      <c r="BR25" s="261"/>
      <c r="BS25" s="261"/>
      <c r="BT25" s="261"/>
      <c r="BU25" s="261"/>
      <c r="BV25" s="261"/>
      <c r="BW25" s="261"/>
    </row>
    <row r="26" spans="1:75" ht="26.2" customHeight="1">
      <c r="B26" s="247"/>
      <c r="C26" s="248"/>
      <c r="D26" s="248"/>
      <c r="E26" s="248"/>
      <c r="F26" s="1380" t="s">
        <v>622</v>
      </c>
      <c r="G26" s="1381"/>
      <c r="H26" s="1381"/>
      <c r="I26" s="1382"/>
      <c r="J26" s="494" t="s">
        <v>386</v>
      </c>
      <c r="K26" s="494" t="s">
        <v>388</v>
      </c>
      <c r="L26" s="237"/>
      <c r="M26" s="238"/>
      <c r="N26" s="387"/>
      <c r="O26" s="387"/>
      <c r="P26" s="387"/>
      <c r="Q26" s="387"/>
      <c r="R26" s="387"/>
      <c r="S26" s="387"/>
      <c r="T26" s="387"/>
      <c r="U26" s="387"/>
      <c r="V26" s="387"/>
      <c r="W26" s="321"/>
      <c r="X26" s="317"/>
      <c r="Y26" s="315"/>
      <c r="Z26" s="315"/>
      <c r="AA26" s="315"/>
      <c r="AB26" s="317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20"/>
      <c r="AR26" s="317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261"/>
      <c r="BJ26" s="261"/>
      <c r="BK26" s="261"/>
      <c r="BL26" s="261"/>
      <c r="BM26" s="261"/>
      <c r="BN26" s="261"/>
      <c r="BO26" s="261"/>
      <c r="BP26" s="261"/>
      <c r="BQ26" s="261"/>
      <c r="BR26" s="261"/>
      <c r="BS26" s="261"/>
      <c r="BT26" s="261"/>
      <c r="BU26" s="261"/>
      <c r="BV26" s="261"/>
      <c r="BW26" s="261"/>
    </row>
    <row r="27" spans="1:75" ht="26.2" customHeight="1">
      <c r="B27" s="247"/>
      <c r="C27" s="248"/>
      <c r="D27" s="248"/>
      <c r="E27" s="248"/>
      <c r="F27" s="237"/>
      <c r="G27" s="237"/>
      <c r="H27" s="237"/>
      <c r="I27" s="400"/>
      <c r="J27" s="494" t="s">
        <v>386</v>
      </c>
      <c r="K27" s="249"/>
      <c r="L27" s="237"/>
      <c r="M27" s="238"/>
      <c r="N27" s="387"/>
      <c r="O27" s="387"/>
      <c r="P27" s="387"/>
      <c r="Q27" s="387"/>
      <c r="R27" s="387"/>
      <c r="S27" s="387"/>
      <c r="T27" s="387"/>
      <c r="U27" s="387"/>
      <c r="V27" s="387"/>
      <c r="W27" s="321"/>
      <c r="X27" s="317"/>
      <c r="Y27" s="315"/>
      <c r="Z27" s="315"/>
      <c r="AA27" s="315"/>
      <c r="AB27" s="317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20"/>
      <c r="AR27" s="317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261"/>
      <c r="BJ27" s="261"/>
      <c r="BK27" s="261"/>
      <c r="BL27" s="261"/>
      <c r="BM27" s="261"/>
      <c r="BN27" s="261"/>
      <c r="BO27" s="261"/>
      <c r="BP27" s="261"/>
      <c r="BQ27" s="261"/>
      <c r="BR27" s="261"/>
      <c r="BS27" s="261"/>
      <c r="BT27" s="261"/>
      <c r="BU27" s="261"/>
      <c r="BV27" s="261"/>
      <c r="BW27" s="261"/>
    </row>
    <row r="28" spans="1:75" ht="26.2" customHeight="1">
      <c r="B28" s="1383"/>
      <c r="C28" s="1384"/>
      <c r="D28" s="1384"/>
      <c r="E28" s="250"/>
      <c r="F28" s="237"/>
      <c r="G28" s="250"/>
      <c r="H28" s="250"/>
      <c r="I28" s="251"/>
      <c r="J28" s="494" t="s">
        <v>386</v>
      </c>
      <c r="K28" s="494" t="s">
        <v>389</v>
      </c>
      <c r="L28" s="1385"/>
      <c r="M28" s="1386"/>
      <c r="N28" s="387"/>
      <c r="O28" s="387"/>
      <c r="P28" s="387"/>
      <c r="Q28" s="387"/>
      <c r="R28" s="387"/>
      <c r="S28" s="387"/>
      <c r="T28" s="387"/>
      <c r="U28" s="387"/>
      <c r="V28" s="387"/>
      <c r="W28" s="321"/>
      <c r="X28" s="317"/>
      <c r="Y28" s="315"/>
      <c r="Z28" s="315"/>
      <c r="AA28" s="315"/>
      <c r="AB28" s="317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20"/>
      <c r="AR28" s="317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</row>
    <row r="29" spans="1:75" ht="26.2" customHeight="1">
      <c r="B29" s="252"/>
      <c r="C29" s="253"/>
      <c r="D29" s="253"/>
      <c r="E29" s="250"/>
      <c r="F29" s="237"/>
      <c r="G29" s="250"/>
      <c r="H29" s="250"/>
      <c r="I29" s="251"/>
      <c r="J29" s="401"/>
      <c r="K29" s="494" t="s">
        <v>389</v>
      </c>
      <c r="L29" s="255"/>
      <c r="M29" s="256"/>
      <c r="N29" s="387"/>
      <c r="O29" s="387"/>
      <c r="P29" s="387"/>
      <c r="Q29" s="387"/>
      <c r="R29" s="387"/>
      <c r="S29" s="387"/>
      <c r="T29" s="387"/>
      <c r="U29" s="387"/>
      <c r="V29" s="387"/>
      <c r="W29" s="321"/>
      <c r="X29" s="317"/>
      <c r="Y29" s="315"/>
      <c r="Z29" s="315"/>
      <c r="AA29" s="315"/>
      <c r="AB29" s="317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20"/>
      <c r="AR29" s="317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261"/>
      <c r="BJ29" s="261"/>
      <c r="BK29" s="261"/>
      <c r="BL29" s="261"/>
      <c r="BM29" s="261"/>
      <c r="BN29" s="261"/>
      <c r="BO29" s="261"/>
      <c r="BP29" s="261"/>
      <c r="BQ29" s="261"/>
      <c r="BR29" s="261"/>
      <c r="BS29" s="261"/>
      <c r="BT29" s="261"/>
      <c r="BU29" s="261"/>
      <c r="BV29" s="261"/>
      <c r="BW29" s="261"/>
    </row>
    <row r="30" spans="1:75" ht="26.2" customHeight="1">
      <c r="B30" s="252"/>
      <c r="C30" s="253"/>
      <c r="D30" s="253"/>
      <c r="E30" s="250"/>
      <c r="F30" s="237"/>
      <c r="G30" s="250"/>
      <c r="H30" s="250"/>
      <c r="I30" s="251"/>
      <c r="J30" s="494" t="s">
        <v>623</v>
      </c>
      <c r="K30" s="494" t="s">
        <v>389</v>
      </c>
      <c r="L30" s="255"/>
      <c r="M30" s="256"/>
      <c r="N30" s="387"/>
      <c r="O30" s="387"/>
      <c r="P30" s="387"/>
      <c r="Q30" s="387"/>
      <c r="R30" s="387"/>
      <c r="S30" s="387"/>
      <c r="T30" s="387"/>
      <c r="U30" s="387"/>
      <c r="V30" s="387"/>
      <c r="W30" s="321"/>
      <c r="X30" s="317"/>
      <c r="Y30" s="315"/>
      <c r="Z30" s="315"/>
      <c r="AA30" s="315"/>
      <c r="AB30" s="317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20"/>
      <c r="AR30" s="317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261"/>
      <c r="BJ30" s="261"/>
      <c r="BK30" s="261"/>
      <c r="BL30" s="261"/>
      <c r="BM30" s="261"/>
      <c r="BN30" s="261"/>
      <c r="BO30" s="261"/>
      <c r="BP30" s="261"/>
      <c r="BQ30" s="261"/>
      <c r="BR30" s="261"/>
      <c r="BS30" s="261"/>
      <c r="BT30" s="261"/>
      <c r="BU30" s="261"/>
      <c r="BV30" s="261"/>
      <c r="BW30" s="261"/>
    </row>
    <row r="31" spans="1:75" ht="26.2" customHeight="1">
      <c r="A31" s="276"/>
      <c r="B31" s="253"/>
      <c r="C31" s="253"/>
      <c r="D31" s="253"/>
      <c r="E31" s="250"/>
      <c r="F31" s="237"/>
      <c r="G31" s="250"/>
      <c r="H31" s="250"/>
      <c r="I31" s="251"/>
      <c r="J31" s="401" t="s">
        <v>622</v>
      </c>
      <c r="K31" s="494" t="s">
        <v>389</v>
      </c>
      <c r="L31" s="257"/>
      <c r="M31" s="258"/>
      <c r="N31" s="387"/>
      <c r="O31" s="387"/>
      <c r="P31" s="387"/>
      <c r="Q31" s="387"/>
      <c r="R31" s="387"/>
      <c r="S31" s="387"/>
      <c r="T31" s="387"/>
      <c r="U31" s="387"/>
      <c r="V31" s="387"/>
      <c r="W31" s="321"/>
      <c r="X31" s="317"/>
      <c r="Y31" s="315"/>
      <c r="Z31" s="315"/>
      <c r="AA31" s="315"/>
      <c r="AB31" s="317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20"/>
      <c r="AR31" s="317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261"/>
      <c r="BJ31" s="261"/>
      <c r="BK31" s="261"/>
      <c r="BL31" s="261"/>
      <c r="BM31" s="261"/>
      <c r="BN31" s="261"/>
      <c r="BO31" s="261"/>
      <c r="BP31" s="261"/>
      <c r="BQ31" s="261"/>
      <c r="BR31" s="261"/>
      <c r="BS31" s="261"/>
      <c r="BT31" s="261"/>
      <c r="BU31" s="261"/>
      <c r="BV31" s="261"/>
      <c r="BW31" s="261"/>
    </row>
    <row r="32" spans="1:75" ht="26.2" customHeight="1">
      <c r="A32" s="276"/>
      <c r="B32" s="253"/>
      <c r="C32" s="253"/>
      <c r="D32" s="253"/>
      <c r="E32" s="250"/>
      <c r="F32" s="237"/>
      <c r="G32" s="250"/>
      <c r="H32" s="250"/>
      <c r="I32" s="250"/>
      <c r="J32" s="496"/>
      <c r="K32" s="254"/>
      <c r="L32" s="257"/>
      <c r="M32" s="258"/>
      <c r="N32" s="387"/>
      <c r="O32" s="387"/>
      <c r="P32" s="387"/>
      <c r="Q32" s="387"/>
      <c r="R32" s="387"/>
      <c r="S32" s="387"/>
      <c r="T32" s="387"/>
      <c r="U32" s="387"/>
      <c r="V32" s="387"/>
      <c r="W32" s="321"/>
      <c r="X32" s="317"/>
      <c r="Y32" s="315"/>
      <c r="Z32" s="315"/>
      <c r="AA32" s="315"/>
      <c r="AB32" s="317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20"/>
      <c r="AR32" s="317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261"/>
      <c r="BJ32" s="261"/>
      <c r="BK32" s="261"/>
      <c r="BL32" s="261"/>
      <c r="BM32" s="261"/>
      <c r="BN32" s="261"/>
      <c r="BO32" s="261"/>
      <c r="BP32" s="261"/>
      <c r="BQ32" s="261"/>
      <c r="BR32" s="261"/>
      <c r="BS32" s="261"/>
      <c r="BT32" s="261"/>
      <c r="BU32" s="261"/>
      <c r="BV32" s="261"/>
      <c r="BW32" s="261"/>
    </row>
    <row r="33" spans="1:75" ht="26.2" customHeight="1">
      <c r="A33" s="276"/>
      <c r="B33" s="253"/>
      <c r="C33" s="253"/>
      <c r="D33" s="253"/>
      <c r="E33" s="250"/>
      <c r="F33" s="237"/>
      <c r="G33" s="250"/>
      <c r="H33" s="250"/>
      <c r="I33" s="250"/>
      <c r="J33" s="258"/>
      <c r="K33" s="494" t="s">
        <v>623</v>
      </c>
      <c r="L33" s="257"/>
      <c r="M33" s="258"/>
      <c r="N33" s="387"/>
      <c r="O33" s="387"/>
      <c r="P33" s="387"/>
      <c r="Q33" s="387"/>
      <c r="R33" s="387"/>
      <c r="S33" s="387"/>
      <c r="T33" s="387"/>
      <c r="U33" s="387"/>
      <c r="V33" s="387"/>
      <c r="W33" s="321"/>
      <c r="X33" s="317"/>
      <c r="Y33" s="315"/>
      <c r="Z33" s="315"/>
      <c r="AA33" s="315"/>
      <c r="AB33" s="317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20"/>
      <c r="AR33" s="317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261"/>
      <c r="BJ33" s="261"/>
      <c r="BK33" s="261"/>
      <c r="BL33" s="261"/>
      <c r="BM33" s="261"/>
      <c r="BN33" s="261"/>
      <c r="BO33" s="261"/>
      <c r="BP33" s="261"/>
      <c r="BQ33" s="261"/>
      <c r="BR33" s="261"/>
      <c r="BS33" s="261"/>
      <c r="BT33" s="261"/>
      <c r="BU33" s="261"/>
      <c r="BV33" s="261"/>
      <c r="BW33" s="261"/>
    </row>
    <row r="34" spans="1:75" ht="26.2" customHeight="1">
      <c r="A34" s="276"/>
      <c r="B34" s="253"/>
      <c r="C34" s="253"/>
      <c r="D34" s="253"/>
      <c r="E34" s="250"/>
      <c r="F34" s="237"/>
      <c r="G34" s="250"/>
      <c r="H34" s="250"/>
      <c r="I34" s="250"/>
      <c r="J34" s="258"/>
      <c r="K34" s="495" t="s">
        <v>624</v>
      </c>
      <c r="L34" s="257"/>
      <c r="M34" s="258"/>
      <c r="N34" s="387"/>
      <c r="O34" s="387"/>
      <c r="P34" s="387"/>
      <c r="Q34" s="387"/>
      <c r="R34" s="387"/>
      <c r="S34" s="387"/>
      <c r="T34" s="387"/>
      <c r="U34" s="387"/>
      <c r="V34" s="387"/>
      <c r="W34" s="321"/>
      <c r="X34" s="317"/>
      <c r="Y34" s="315"/>
      <c r="Z34" s="315"/>
      <c r="AA34" s="315"/>
      <c r="AB34" s="317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20"/>
      <c r="AR34" s="317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261"/>
      <c r="BJ34" s="261"/>
      <c r="BK34" s="261"/>
      <c r="BL34" s="261"/>
      <c r="BM34" s="261"/>
      <c r="BN34" s="261"/>
      <c r="BO34" s="261"/>
      <c r="BP34" s="261"/>
      <c r="BQ34" s="261"/>
      <c r="BR34" s="261"/>
      <c r="BS34" s="261"/>
      <c r="BT34" s="261"/>
      <c r="BU34" s="261"/>
      <c r="BV34" s="261"/>
      <c r="BW34" s="261"/>
    </row>
    <row r="35" spans="1:75" ht="15.8" customHeight="1">
      <c r="A35" s="276"/>
      <c r="B35" s="282"/>
      <c r="C35" s="253"/>
      <c r="D35" s="253"/>
      <c r="E35" s="250"/>
      <c r="F35" s="237"/>
      <c r="G35" s="250"/>
      <c r="H35" s="250"/>
      <c r="I35" s="250"/>
      <c r="J35" s="257"/>
      <c r="K35" s="259"/>
      <c r="L35" s="257"/>
      <c r="M35" s="260"/>
      <c r="N35" s="387"/>
      <c r="O35" s="387"/>
      <c r="P35" s="387"/>
      <c r="Q35" s="387"/>
      <c r="R35" s="387"/>
      <c r="S35" s="387"/>
      <c r="T35" s="387"/>
      <c r="U35" s="387"/>
      <c r="V35" s="387"/>
      <c r="W35" s="321"/>
      <c r="X35" s="317"/>
      <c r="Y35" s="315"/>
      <c r="Z35" s="315"/>
      <c r="AA35" s="315"/>
      <c r="AB35" s="317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20"/>
      <c r="AR35" s="317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261"/>
      <c r="BJ35" s="261"/>
      <c r="BK35" s="261"/>
      <c r="BL35" s="261"/>
      <c r="BM35" s="261"/>
      <c r="BN35" s="261"/>
      <c r="BO35" s="261"/>
      <c r="BP35" s="261"/>
      <c r="BQ35" s="261"/>
      <c r="BR35" s="261"/>
      <c r="BS35" s="261"/>
      <c r="BT35" s="261"/>
      <c r="BU35" s="261"/>
      <c r="BV35" s="261"/>
      <c r="BW35" s="261"/>
    </row>
    <row r="36" spans="1:75" ht="40.450000000000003" customHeight="1">
      <c r="B36" s="1413" t="s">
        <v>527</v>
      </c>
      <c r="C36" s="1414"/>
      <c r="D36" s="1414"/>
      <c r="E36" s="1414"/>
      <c r="F36" s="1414"/>
      <c r="G36" s="1414"/>
      <c r="H36" s="1414"/>
      <c r="I36" s="1414"/>
      <c r="J36" s="1414"/>
      <c r="K36" s="1414"/>
      <c r="L36" s="1414"/>
      <c r="M36" s="14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7"/>
      <c r="Y36" s="315"/>
      <c r="Z36" s="315"/>
      <c r="AA36" s="315"/>
      <c r="AB36" s="317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20"/>
      <c r="AR36" s="317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261"/>
      <c r="BJ36" s="261"/>
      <c r="BK36" s="261"/>
      <c r="BL36" s="261"/>
      <c r="BM36" s="261"/>
      <c r="BN36" s="261"/>
      <c r="BO36" s="261"/>
      <c r="BP36" s="261"/>
      <c r="BQ36" s="261"/>
      <c r="BR36" s="261"/>
      <c r="BS36" s="261"/>
      <c r="BT36" s="261"/>
      <c r="BU36" s="261"/>
      <c r="BV36" s="261"/>
      <c r="BW36" s="261"/>
    </row>
    <row r="37" spans="1:75" ht="21.9" customHeight="1">
      <c r="B37" s="1387" t="s">
        <v>520</v>
      </c>
      <c r="C37" s="1388"/>
      <c r="D37" s="1388"/>
      <c r="E37" s="1389"/>
      <c r="F37" s="1456" t="str">
        <f t="shared" ref="F37:F51" si="0">$P175</f>
        <v>Speklap CARIBBEAN</v>
      </c>
      <c r="G37" s="1457"/>
      <c r="H37" s="1457"/>
      <c r="I37" s="1457"/>
      <c r="J37" s="1458"/>
      <c r="K37" s="275" t="s">
        <v>523</v>
      </c>
      <c r="L37" s="1366" t="str">
        <f t="shared" ref="L37:L56" si="1">IF(K37="Klik &amp; Kies aantal stuks ---&gt;","",SUM(K37*Q175))</f>
        <v/>
      </c>
      <c r="M37" s="136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315"/>
      <c r="AO37" s="315"/>
      <c r="AP37" s="315"/>
      <c r="AQ37" s="320"/>
      <c r="AR37" s="317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261"/>
      <c r="BJ37" s="261"/>
      <c r="BK37" s="261"/>
      <c r="BL37" s="261"/>
      <c r="BM37" s="261"/>
      <c r="BN37" s="261"/>
      <c r="BO37" s="261"/>
      <c r="BP37" s="261"/>
      <c r="BQ37" s="261"/>
      <c r="BR37" s="261"/>
      <c r="BS37" s="261"/>
      <c r="BT37" s="261"/>
      <c r="BU37" s="261"/>
      <c r="BV37" s="261"/>
      <c r="BW37" s="261"/>
    </row>
    <row r="38" spans="1:75" ht="21.9" customHeight="1">
      <c r="B38" s="1390"/>
      <c r="C38" s="1391"/>
      <c r="D38" s="1391"/>
      <c r="E38" s="1392"/>
      <c r="F38" s="1357" t="str">
        <f t="shared" si="0"/>
        <v>Beierse BBQ worst</v>
      </c>
      <c r="G38" s="1358"/>
      <c r="H38" s="1358"/>
      <c r="I38" s="1358"/>
      <c r="J38" s="1359"/>
      <c r="K38" s="374" t="s">
        <v>523</v>
      </c>
      <c r="L38" s="1353" t="str">
        <f t="shared" si="1"/>
        <v/>
      </c>
      <c r="M38" s="1354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315"/>
      <c r="AO38" s="315"/>
      <c r="AP38" s="315"/>
      <c r="AQ38" s="320"/>
      <c r="AR38" s="317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261"/>
      <c r="BJ38" s="261"/>
      <c r="BK38" s="261"/>
      <c r="BL38" s="261"/>
      <c r="BM38" s="261"/>
      <c r="BN38" s="261"/>
      <c r="BO38" s="261"/>
      <c r="BP38" s="261"/>
      <c r="BQ38" s="261"/>
      <c r="BR38" s="261"/>
      <c r="BS38" s="261"/>
      <c r="BT38" s="261"/>
      <c r="BU38" s="261"/>
      <c r="BV38" s="261"/>
      <c r="BW38" s="261"/>
    </row>
    <row r="39" spans="1:75" ht="21.9" customHeight="1">
      <c r="B39" s="1390"/>
      <c r="C39" s="1391"/>
      <c r="D39" s="1391"/>
      <c r="E39" s="1392"/>
      <c r="F39" s="1345" t="str">
        <f t="shared" si="0"/>
        <v>VOLTA Burger XL</v>
      </c>
      <c r="G39" s="1346"/>
      <c r="H39" s="1346"/>
      <c r="I39" s="1346"/>
      <c r="J39" s="1347"/>
      <c r="K39" s="374" t="s">
        <v>523</v>
      </c>
      <c r="L39" s="1368" t="str">
        <f t="shared" si="1"/>
        <v/>
      </c>
      <c r="M39" s="1369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315"/>
      <c r="AO39" s="315"/>
      <c r="AP39" s="315"/>
      <c r="AQ39" s="320"/>
      <c r="AR39" s="317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261"/>
      <c r="BJ39" s="261"/>
      <c r="BK39" s="261"/>
      <c r="BL39" s="261"/>
      <c r="BM39" s="261"/>
      <c r="BN39" s="261"/>
      <c r="BO39" s="261"/>
      <c r="BP39" s="261"/>
      <c r="BQ39" s="261"/>
      <c r="BR39" s="261"/>
      <c r="BS39" s="261"/>
      <c r="BT39" s="261"/>
      <c r="BU39" s="261"/>
      <c r="BV39" s="261"/>
      <c r="BW39" s="261"/>
    </row>
    <row r="40" spans="1:75" ht="21.9" customHeight="1">
      <c r="B40" s="1390"/>
      <c r="C40" s="1391"/>
      <c r="D40" s="1391"/>
      <c r="E40" s="1392"/>
      <c r="F40" s="1357" t="str">
        <f t="shared" si="0"/>
        <v>Souvlaki XL</v>
      </c>
      <c r="G40" s="1358"/>
      <c r="H40" s="1358"/>
      <c r="I40" s="1358"/>
      <c r="J40" s="1359"/>
      <c r="K40" s="374" t="s">
        <v>523</v>
      </c>
      <c r="L40" s="1368" t="str">
        <f t="shared" si="1"/>
        <v/>
      </c>
      <c r="M40" s="1369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315"/>
      <c r="AO40" s="315"/>
      <c r="AP40" s="315"/>
      <c r="AQ40" s="320"/>
      <c r="AR40" s="317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261"/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1"/>
      <c r="BU40" s="261"/>
      <c r="BV40" s="261"/>
      <c r="BW40" s="261"/>
    </row>
    <row r="41" spans="1:75" ht="21.9" customHeight="1">
      <c r="B41" s="1390"/>
      <c r="C41" s="1391"/>
      <c r="D41" s="1391"/>
      <c r="E41" s="1392"/>
      <c r="F41" s="1459" t="str">
        <f t="shared" si="0"/>
        <v>Saté Varkenshaas XL</v>
      </c>
      <c r="G41" s="1460"/>
      <c r="H41" s="1460"/>
      <c r="I41" s="1460"/>
      <c r="J41" s="1461"/>
      <c r="K41" s="374" t="s">
        <v>523</v>
      </c>
      <c r="L41" s="1368" t="str">
        <f t="shared" si="1"/>
        <v/>
      </c>
      <c r="M41" s="1369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315"/>
      <c r="AO41" s="315"/>
      <c r="AP41" s="315"/>
      <c r="AQ41" s="320"/>
      <c r="AR41" s="317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261"/>
      <c r="BJ41" s="261"/>
      <c r="BK41" s="261"/>
      <c r="BL41" s="261"/>
      <c r="BM41" s="261"/>
      <c r="BN41" s="261"/>
      <c r="BO41" s="261"/>
      <c r="BP41" s="261"/>
      <c r="BQ41" s="261"/>
      <c r="BR41" s="261"/>
      <c r="BS41" s="261"/>
      <c r="BT41" s="261"/>
      <c r="BU41" s="261"/>
      <c r="BV41" s="261"/>
      <c r="BW41" s="261"/>
    </row>
    <row r="42" spans="1:75" ht="21.9" customHeight="1">
      <c r="B42" s="1390"/>
      <c r="C42" s="1391"/>
      <c r="D42" s="1391"/>
      <c r="E42" s="1392"/>
      <c r="F42" s="1345" t="str">
        <f t="shared" si="0"/>
        <v>Ribsteak TEX MEX</v>
      </c>
      <c r="G42" s="1346"/>
      <c r="H42" s="1346"/>
      <c r="I42" s="1346"/>
      <c r="J42" s="1347"/>
      <c r="K42" s="374" t="s">
        <v>523</v>
      </c>
      <c r="L42" s="1368" t="str">
        <f t="shared" si="1"/>
        <v/>
      </c>
      <c r="M42" s="1369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315"/>
      <c r="AO42" s="315"/>
      <c r="AP42" s="315"/>
      <c r="AQ42" s="320"/>
      <c r="AR42" s="317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261"/>
      <c r="BJ42" s="261"/>
      <c r="BK42" s="261"/>
      <c r="BL42" s="261"/>
      <c r="BM42" s="261"/>
      <c r="BN42" s="261"/>
      <c r="BO42" s="261"/>
      <c r="BP42" s="261"/>
      <c r="BQ42" s="261"/>
      <c r="BR42" s="261"/>
      <c r="BS42" s="261"/>
      <c r="BT42" s="261"/>
      <c r="BU42" s="261"/>
      <c r="BV42" s="261"/>
      <c r="BW42" s="261"/>
    </row>
    <row r="43" spans="1:75" ht="21.9" customHeight="1">
      <c r="B43" s="1390"/>
      <c r="C43" s="1391"/>
      <c r="D43" s="1391"/>
      <c r="E43" s="1392"/>
      <c r="F43" s="1357" t="str">
        <f t="shared" si="0"/>
        <v>Westernsteak XL</v>
      </c>
      <c r="G43" s="1358"/>
      <c r="H43" s="1358"/>
      <c r="I43" s="1358"/>
      <c r="J43" s="1359"/>
      <c r="K43" s="374" t="s">
        <v>523</v>
      </c>
      <c r="L43" s="1351" t="str">
        <f t="shared" si="1"/>
        <v/>
      </c>
      <c r="M43" s="1352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315"/>
      <c r="AO43" s="315"/>
      <c r="AP43" s="315"/>
      <c r="AQ43" s="320"/>
      <c r="AR43" s="317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261"/>
      <c r="BJ43" s="261"/>
      <c r="BK43" s="261"/>
      <c r="BL43" s="261"/>
      <c r="BM43" s="261"/>
      <c r="BN43" s="261"/>
      <c r="BO43" s="261"/>
      <c r="BP43" s="261"/>
      <c r="BQ43" s="261"/>
      <c r="BR43" s="261"/>
      <c r="BS43" s="261"/>
      <c r="BT43" s="261"/>
      <c r="BU43" s="261"/>
      <c r="BV43" s="261"/>
      <c r="BW43" s="261"/>
    </row>
    <row r="44" spans="1:75" ht="21.9" customHeight="1">
      <c r="B44" s="1390"/>
      <c r="C44" s="1391"/>
      <c r="D44" s="1391"/>
      <c r="E44" s="1392"/>
      <c r="F44" s="1459" t="str">
        <f t="shared" si="0"/>
        <v>Piri Piri Steak XL</v>
      </c>
      <c r="G44" s="1460"/>
      <c r="H44" s="1460"/>
      <c r="I44" s="1460"/>
      <c r="J44" s="1461"/>
      <c r="K44" s="374" t="s">
        <v>523</v>
      </c>
      <c r="L44" s="1368" t="str">
        <f t="shared" si="1"/>
        <v/>
      </c>
      <c r="M44" s="1369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315"/>
      <c r="AO44" s="315"/>
      <c r="AP44" s="315"/>
      <c r="AQ44" s="320"/>
      <c r="AR44" s="317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261"/>
      <c r="BJ44" s="261"/>
      <c r="BK44" s="261"/>
      <c r="BL44" s="261"/>
      <c r="BM44" s="261"/>
      <c r="BN44" s="261"/>
      <c r="BO44" s="261"/>
      <c r="BP44" s="261"/>
      <c r="BQ44" s="261"/>
      <c r="BR44" s="261"/>
      <c r="BS44" s="261"/>
      <c r="BT44" s="261"/>
      <c r="BU44" s="261"/>
      <c r="BV44" s="261"/>
      <c r="BW44" s="261"/>
    </row>
    <row r="45" spans="1:75" ht="21.9" customHeight="1" thickBot="1">
      <c r="B45" s="1393"/>
      <c r="C45" s="1394"/>
      <c r="D45" s="1394"/>
      <c r="E45" s="1395"/>
      <c r="F45" s="1348" t="str">
        <f t="shared" si="0"/>
        <v>Shaslick Varkenshaas</v>
      </c>
      <c r="G45" s="1349"/>
      <c r="H45" s="1349"/>
      <c r="I45" s="1349"/>
      <c r="J45" s="1350"/>
      <c r="K45" s="274" t="s">
        <v>523</v>
      </c>
      <c r="L45" s="1351" t="str">
        <f t="shared" si="1"/>
        <v/>
      </c>
      <c r="M45" s="1352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315"/>
      <c r="AO45" s="315"/>
      <c r="AP45" s="315"/>
      <c r="AQ45" s="320"/>
      <c r="AR45" s="317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261"/>
      <c r="BJ45" s="261"/>
      <c r="BK45" s="261"/>
      <c r="BL45" s="261"/>
      <c r="BM45" s="261"/>
      <c r="BN45" s="261"/>
      <c r="BO45" s="261"/>
      <c r="BP45" s="261"/>
      <c r="BQ45" s="261"/>
      <c r="BR45" s="261"/>
      <c r="BS45" s="261"/>
      <c r="BT45" s="261"/>
      <c r="BU45" s="261"/>
      <c r="BV45" s="261"/>
      <c r="BW45" s="261"/>
    </row>
    <row r="46" spans="1:75" ht="21.9" customHeight="1">
      <c r="B46" s="1520" t="s">
        <v>521</v>
      </c>
      <c r="C46" s="1521"/>
      <c r="D46" s="1521"/>
      <c r="E46" s="1522"/>
      <c r="F46" s="1462" t="str">
        <f t="shared" si="0"/>
        <v>Drumstick ARGENTINA</v>
      </c>
      <c r="G46" s="1463"/>
      <c r="H46" s="1463"/>
      <c r="I46" s="1463"/>
      <c r="J46" s="1464"/>
      <c r="K46" s="375" t="s">
        <v>523</v>
      </c>
      <c r="L46" s="1370" t="str">
        <f t="shared" si="1"/>
        <v/>
      </c>
      <c r="M46" s="1371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315"/>
      <c r="AO46" s="315"/>
      <c r="AP46" s="315"/>
      <c r="AQ46" s="320"/>
      <c r="AR46" s="317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261"/>
      <c r="BJ46" s="261"/>
      <c r="BK46" s="261"/>
      <c r="BL46" s="261"/>
      <c r="BM46" s="261"/>
      <c r="BN46" s="261"/>
      <c r="BO46" s="261"/>
      <c r="BP46" s="261"/>
      <c r="BQ46" s="261"/>
      <c r="BR46" s="261"/>
      <c r="BS46" s="261"/>
      <c r="BT46" s="261"/>
      <c r="BU46" s="261"/>
      <c r="BV46" s="261"/>
      <c r="BW46" s="261"/>
    </row>
    <row r="47" spans="1:75" ht="21.9" customHeight="1">
      <c r="A47" s="276"/>
      <c r="B47" s="1520"/>
      <c r="C47" s="1521"/>
      <c r="D47" s="1521"/>
      <c r="E47" s="1522"/>
      <c r="F47" s="1357" t="str">
        <f t="shared" si="0"/>
        <v>Kipspies TOSCANA XL</v>
      </c>
      <c r="G47" s="1358"/>
      <c r="H47" s="1358"/>
      <c r="I47" s="1358"/>
      <c r="J47" s="1359"/>
      <c r="K47" s="374" t="s">
        <v>523</v>
      </c>
      <c r="L47" s="1353" t="str">
        <f t="shared" si="1"/>
        <v/>
      </c>
      <c r="M47" s="1354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315"/>
      <c r="AB47" s="317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20"/>
      <c r="AR47" s="317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261"/>
      <c r="BJ47" s="261"/>
      <c r="BK47" s="261"/>
      <c r="BL47" s="261"/>
      <c r="BM47" s="261"/>
      <c r="BN47" s="261"/>
      <c r="BO47" s="261"/>
      <c r="BP47" s="261"/>
      <c r="BQ47" s="261"/>
      <c r="BR47" s="261"/>
      <c r="BS47" s="261"/>
      <c r="BT47" s="261"/>
      <c r="BU47" s="261"/>
      <c r="BV47" s="261"/>
      <c r="BW47" s="261"/>
    </row>
    <row r="48" spans="1:75" ht="21.9" customHeight="1">
      <c r="A48" s="276"/>
      <c r="B48" s="1520"/>
      <c r="C48" s="1521"/>
      <c r="D48" s="1521"/>
      <c r="E48" s="1522"/>
      <c r="F48" s="1345" t="str">
        <f t="shared" si="0"/>
        <v>Kipspies GREEK Passion XL</v>
      </c>
      <c r="G48" s="1346"/>
      <c r="H48" s="1346"/>
      <c r="I48" s="1346"/>
      <c r="J48" s="1347"/>
      <c r="K48" s="273" t="s">
        <v>523</v>
      </c>
      <c r="L48" s="1353" t="str">
        <f t="shared" si="1"/>
        <v/>
      </c>
      <c r="M48" s="1354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315"/>
      <c r="AB48" s="317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20"/>
      <c r="AR48" s="317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261"/>
      <c r="BJ48" s="261"/>
      <c r="BK48" s="261"/>
      <c r="BL48" s="261"/>
      <c r="BM48" s="261"/>
      <c r="BN48" s="261"/>
      <c r="BO48" s="261"/>
      <c r="BP48" s="261"/>
      <c r="BQ48" s="261"/>
      <c r="BR48" s="261"/>
      <c r="BS48" s="261"/>
      <c r="BT48" s="261"/>
      <c r="BU48" s="261"/>
      <c r="BV48" s="261"/>
      <c r="BW48" s="261"/>
    </row>
    <row r="49" spans="1:75" ht="21.9" customHeight="1">
      <c r="A49" s="276"/>
      <c r="B49" s="1520"/>
      <c r="C49" s="1521"/>
      <c r="D49" s="1521"/>
      <c r="E49" s="1522"/>
      <c r="F49" s="1345" t="str">
        <f t="shared" si="0"/>
        <v>Kipsaté XL</v>
      </c>
      <c r="G49" s="1346"/>
      <c r="H49" s="1346"/>
      <c r="I49" s="1346"/>
      <c r="J49" s="1347"/>
      <c r="K49" s="374" t="s">
        <v>523</v>
      </c>
      <c r="L49" s="1368" t="str">
        <f t="shared" si="1"/>
        <v/>
      </c>
      <c r="M49" s="1369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315"/>
      <c r="AB49" s="317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20"/>
      <c r="AR49" s="317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261"/>
      <c r="BJ49" s="261"/>
      <c r="BK49" s="261"/>
      <c r="BL49" s="261"/>
      <c r="BM49" s="261"/>
      <c r="BN49" s="261"/>
      <c r="BO49" s="261"/>
      <c r="BP49" s="261"/>
      <c r="BQ49" s="261"/>
      <c r="BR49" s="261"/>
      <c r="BS49" s="261"/>
      <c r="BT49" s="261"/>
      <c r="BU49" s="261"/>
      <c r="BV49" s="261"/>
      <c r="BW49" s="261"/>
    </row>
    <row r="50" spans="1:75" ht="21.9" customHeight="1">
      <c r="A50" s="276"/>
      <c r="B50" s="1520"/>
      <c r="C50" s="1521"/>
      <c r="D50" s="1521"/>
      <c r="E50" s="1522"/>
      <c r="F50" s="1345" t="str">
        <f t="shared" si="0"/>
        <v>Kipsteak SIRTAKI</v>
      </c>
      <c r="G50" s="1346"/>
      <c r="H50" s="1346"/>
      <c r="I50" s="1346"/>
      <c r="J50" s="1347"/>
      <c r="K50" s="374" t="s">
        <v>523</v>
      </c>
      <c r="L50" s="1368" t="str">
        <f t="shared" si="1"/>
        <v/>
      </c>
      <c r="M50" s="1369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315"/>
      <c r="AB50" s="317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20"/>
      <c r="AR50" s="317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261"/>
      <c r="BJ50" s="261"/>
      <c r="BK50" s="261"/>
      <c r="BL50" s="261"/>
      <c r="BM50" s="261"/>
      <c r="BN50" s="261"/>
      <c r="BO50" s="261"/>
      <c r="BP50" s="261"/>
      <c r="BQ50" s="261"/>
      <c r="BR50" s="261"/>
      <c r="BS50" s="261"/>
      <c r="BT50" s="261"/>
      <c r="BU50" s="261"/>
      <c r="BV50" s="261"/>
      <c r="BW50" s="261"/>
    </row>
    <row r="51" spans="1:75" ht="21.9" customHeight="1" thickBot="1">
      <c r="A51" s="276"/>
      <c r="B51" s="1523"/>
      <c r="C51" s="1524"/>
      <c r="D51" s="1524"/>
      <c r="E51" s="1525"/>
      <c r="F51" s="1348" t="str">
        <f t="shared" si="0"/>
        <v>Shaslick Kip</v>
      </c>
      <c r="G51" s="1349"/>
      <c r="H51" s="1349"/>
      <c r="I51" s="1349"/>
      <c r="J51" s="1350"/>
      <c r="K51" s="377" t="s">
        <v>523</v>
      </c>
      <c r="L51" s="1410" t="str">
        <f t="shared" si="1"/>
        <v/>
      </c>
      <c r="M51" s="1411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315"/>
      <c r="AB51" s="317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20"/>
      <c r="AR51" s="317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261"/>
      <c r="BJ51" s="261"/>
      <c r="BK51" s="261"/>
      <c r="BL51" s="261"/>
      <c r="BM51" s="261"/>
      <c r="BN51" s="261"/>
      <c r="BO51" s="261"/>
      <c r="BP51" s="261"/>
      <c r="BQ51" s="261"/>
      <c r="BR51" s="261"/>
      <c r="BS51" s="261"/>
      <c r="BT51" s="261"/>
      <c r="BU51" s="261"/>
      <c r="BV51" s="261"/>
      <c r="BW51" s="261"/>
    </row>
    <row r="52" spans="1:75" ht="21.9" customHeight="1">
      <c r="A52" s="276"/>
      <c r="B52" s="1509" t="s">
        <v>522</v>
      </c>
      <c r="C52" s="834"/>
      <c r="D52" s="834"/>
      <c r="E52" s="835"/>
      <c r="F52" s="1342" t="str">
        <f t="shared" ref="F52:F56" si="2">$P190</f>
        <v>Biefspies NATUUR XL</v>
      </c>
      <c r="G52" s="1343"/>
      <c r="H52" s="1343"/>
      <c r="I52" s="1343"/>
      <c r="J52" s="1344"/>
      <c r="K52" s="279" t="s">
        <v>523</v>
      </c>
      <c r="L52" s="1351" t="str">
        <f t="shared" si="1"/>
        <v/>
      </c>
      <c r="M52" s="1352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315"/>
      <c r="AB52" s="317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20"/>
      <c r="AR52" s="317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261"/>
      <c r="BJ52" s="261"/>
      <c r="BK52" s="261"/>
      <c r="BL52" s="261"/>
      <c r="BM52" s="261"/>
      <c r="BN52" s="261"/>
      <c r="BO52" s="261"/>
      <c r="BP52" s="261"/>
      <c r="BQ52" s="261"/>
      <c r="BR52" s="261"/>
      <c r="BS52" s="261"/>
      <c r="BT52" s="261"/>
      <c r="BU52" s="261"/>
      <c r="BV52" s="261"/>
      <c r="BW52" s="261"/>
    </row>
    <row r="53" spans="1:75" ht="21.9" customHeight="1">
      <c r="A53" s="276"/>
      <c r="B53" s="1510"/>
      <c r="C53" s="834"/>
      <c r="D53" s="834"/>
      <c r="E53" s="835"/>
      <c r="F53" s="1345" t="str">
        <f t="shared" si="2"/>
        <v>Biefspies TAKOYAKI XL</v>
      </c>
      <c r="G53" s="1346"/>
      <c r="H53" s="1346"/>
      <c r="I53" s="1346"/>
      <c r="J53" s="1347"/>
      <c r="K53" s="374" t="s">
        <v>523</v>
      </c>
      <c r="L53" s="1353" t="str">
        <f t="shared" si="1"/>
        <v/>
      </c>
      <c r="M53" s="1354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315"/>
      <c r="AB53" s="317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20"/>
      <c r="AR53" s="317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261"/>
      <c r="BJ53" s="261"/>
      <c r="BK53" s="261"/>
      <c r="BL53" s="261"/>
      <c r="BM53" s="261"/>
      <c r="BN53" s="261"/>
      <c r="BO53" s="261"/>
      <c r="BP53" s="261"/>
      <c r="BQ53" s="261"/>
      <c r="BR53" s="261"/>
      <c r="BS53" s="261"/>
      <c r="BT53" s="261"/>
      <c r="BU53" s="261"/>
      <c r="BV53" s="261"/>
      <c r="BW53" s="261"/>
    </row>
    <row r="54" spans="1:75" ht="21.9" customHeight="1" thickBot="1">
      <c r="A54" s="276"/>
      <c r="B54" s="1511"/>
      <c r="C54" s="1512"/>
      <c r="D54" s="1512"/>
      <c r="E54" s="1513"/>
      <c r="F54" s="1348" t="str">
        <f t="shared" si="2"/>
        <v>Biefspies DALLAS XL</v>
      </c>
      <c r="G54" s="1349"/>
      <c r="H54" s="1349"/>
      <c r="I54" s="1349"/>
      <c r="J54" s="1350"/>
      <c r="K54" s="377" t="s">
        <v>523</v>
      </c>
      <c r="L54" s="1355" t="str">
        <f t="shared" si="1"/>
        <v/>
      </c>
      <c r="M54" s="1356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315"/>
      <c r="AB54" s="317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20"/>
      <c r="AR54" s="317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261"/>
      <c r="BJ54" s="261"/>
      <c r="BK54" s="261"/>
      <c r="BL54" s="261"/>
      <c r="BM54" s="261"/>
      <c r="BN54" s="261"/>
      <c r="BO54" s="261"/>
      <c r="BP54" s="261"/>
      <c r="BQ54" s="261"/>
      <c r="BR54" s="261"/>
      <c r="BS54" s="261"/>
      <c r="BT54" s="261"/>
      <c r="BU54" s="261"/>
      <c r="BV54" s="261"/>
      <c r="BW54" s="261"/>
    </row>
    <row r="55" spans="1:75" ht="21.9" customHeight="1">
      <c r="B55" s="1514" t="s">
        <v>415</v>
      </c>
      <c r="C55" s="1515"/>
      <c r="D55" s="1515"/>
      <c r="E55" s="1516"/>
      <c r="F55" s="1357" t="str">
        <f t="shared" si="2"/>
        <v>Zalmspies</v>
      </c>
      <c r="G55" s="1358"/>
      <c r="H55" s="1358"/>
      <c r="I55" s="1358"/>
      <c r="J55" s="1359"/>
      <c r="K55" s="279" t="s">
        <v>523</v>
      </c>
      <c r="L55" s="1351" t="str">
        <f t="shared" si="1"/>
        <v/>
      </c>
      <c r="M55" s="1352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317"/>
      <c r="Y55" s="315"/>
      <c r="Z55" s="315"/>
      <c r="AA55" s="315"/>
      <c r="AB55" s="317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20"/>
      <c r="AR55" s="317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261"/>
      <c r="BJ55" s="261"/>
      <c r="BK55" s="261"/>
      <c r="BL55" s="261"/>
      <c r="BM55" s="261"/>
      <c r="BN55" s="261"/>
      <c r="BO55" s="261"/>
      <c r="BP55" s="261"/>
      <c r="BQ55" s="261"/>
      <c r="BR55" s="261"/>
      <c r="BS55" s="261"/>
      <c r="BT55" s="261"/>
      <c r="BU55" s="261"/>
      <c r="BV55" s="261"/>
      <c r="BW55" s="261"/>
    </row>
    <row r="56" spans="1:75" ht="21.9" customHeight="1" thickBot="1">
      <c r="B56" s="1517"/>
      <c r="C56" s="1518"/>
      <c r="D56" s="1518"/>
      <c r="E56" s="1519"/>
      <c r="F56" s="1348" t="str">
        <f t="shared" si="2"/>
        <v>Gambaspies Pil Pil XL</v>
      </c>
      <c r="G56" s="1349"/>
      <c r="H56" s="1349"/>
      <c r="I56" s="1349"/>
      <c r="J56" s="1350"/>
      <c r="K56" s="377" t="s">
        <v>523</v>
      </c>
      <c r="L56" s="1353" t="str">
        <f t="shared" si="1"/>
        <v/>
      </c>
      <c r="M56" s="1354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317"/>
      <c r="Y56" s="315"/>
      <c r="Z56" s="315"/>
      <c r="AA56" s="315"/>
      <c r="AB56" s="317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20"/>
      <c r="AR56" s="317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261"/>
      <c r="BJ56" s="261"/>
      <c r="BK56" s="261"/>
      <c r="BL56" s="261"/>
      <c r="BM56" s="261"/>
      <c r="BN56" s="261"/>
      <c r="BO56" s="261"/>
      <c r="BP56" s="261"/>
      <c r="BQ56" s="261"/>
      <c r="BR56" s="261"/>
      <c r="BS56" s="261"/>
      <c r="BT56" s="261"/>
      <c r="BU56" s="261"/>
      <c r="BV56" s="261"/>
      <c r="BW56" s="261"/>
    </row>
    <row r="57" spans="1:75" ht="21.9" customHeight="1">
      <c r="B57" s="1551" t="s">
        <v>394</v>
      </c>
      <c r="C57" s="1552"/>
      <c r="D57" s="1552"/>
      <c r="E57" s="1553"/>
      <c r="F57" s="1462" t="str">
        <f>$S175</f>
        <v>Eiersalade</v>
      </c>
      <c r="G57" s="1463"/>
      <c r="H57" s="1463"/>
      <c r="I57" s="1463"/>
      <c r="J57" s="1464"/>
      <c r="K57" s="378" t="s">
        <v>402</v>
      </c>
      <c r="L57" s="1370" t="str">
        <f>IF(K57="Klik &amp; Kies gewicht in grammen ---&gt;","",SUM(K57*T175/100))</f>
        <v/>
      </c>
      <c r="M57" s="1371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317"/>
      <c r="Y57" s="315"/>
      <c r="Z57" s="315"/>
      <c r="AA57" s="315"/>
      <c r="AB57" s="317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20"/>
      <c r="AR57" s="317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261"/>
      <c r="BJ57" s="261"/>
      <c r="BK57" s="261"/>
      <c r="BL57" s="261"/>
      <c r="BM57" s="261"/>
      <c r="BN57" s="261"/>
      <c r="BO57" s="261"/>
      <c r="BP57" s="261"/>
      <c r="BQ57" s="261"/>
      <c r="BR57" s="261"/>
      <c r="BS57" s="261"/>
      <c r="BT57" s="261"/>
      <c r="BU57" s="261"/>
      <c r="BV57" s="261"/>
      <c r="BW57" s="261"/>
    </row>
    <row r="58" spans="1:75" ht="21.9" customHeight="1">
      <c r="B58" s="1554"/>
      <c r="C58" s="1555"/>
      <c r="D58" s="1555"/>
      <c r="E58" s="1556"/>
      <c r="F58" s="1345" t="str">
        <f>$S176</f>
        <v>Komkommersalade</v>
      </c>
      <c r="G58" s="1346"/>
      <c r="H58" s="1346"/>
      <c r="I58" s="1346"/>
      <c r="J58" s="1347"/>
      <c r="K58" s="273" t="s">
        <v>402</v>
      </c>
      <c r="L58" s="1351" t="str">
        <f>IF(K58="Klik &amp; Kies gewicht in grammen ---&gt;","",SUM(K58*T176/100))</f>
        <v/>
      </c>
      <c r="M58" s="1352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317"/>
      <c r="Y58" s="315"/>
      <c r="Z58" s="315"/>
      <c r="AA58" s="315"/>
      <c r="AB58" s="317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20"/>
      <c r="AR58" s="317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261"/>
      <c r="BJ58" s="261"/>
      <c r="BK58" s="261"/>
      <c r="BL58" s="261"/>
      <c r="BM58" s="261"/>
      <c r="BN58" s="261"/>
      <c r="BO58" s="261"/>
      <c r="BP58" s="261"/>
      <c r="BQ58" s="261"/>
      <c r="BR58" s="261"/>
      <c r="BS58" s="261"/>
      <c r="BT58" s="261"/>
      <c r="BU58" s="261"/>
      <c r="BV58" s="261"/>
      <c r="BW58" s="261"/>
    </row>
    <row r="59" spans="1:75" ht="21.9" customHeight="1">
      <c r="B59" s="1554"/>
      <c r="C59" s="1555"/>
      <c r="D59" s="1555"/>
      <c r="E59" s="1556"/>
      <c r="F59" s="1345" t="str">
        <f>$S177</f>
        <v>Wortelsalade</v>
      </c>
      <c r="G59" s="1346"/>
      <c r="H59" s="1346"/>
      <c r="I59" s="1346"/>
      <c r="J59" s="1347"/>
      <c r="K59" s="273" t="s">
        <v>402</v>
      </c>
      <c r="L59" s="1351" t="str">
        <f>IF(K59="Klik &amp; Kies gewicht in grammen ---&gt;","",SUM(K59*T177/100))</f>
        <v/>
      </c>
      <c r="M59" s="1352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317"/>
      <c r="Y59" s="315"/>
      <c r="Z59" s="315"/>
      <c r="AA59" s="315"/>
      <c r="AB59" s="317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20"/>
      <c r="AR59" s="317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261"/>
      <c r="BJ59" s="261"/>
      <c r="BK59" s="261"/>
      <c r="BL59" s="261"/>
      <c r="BM59" s="261"/>
      <c r="BN59" s="261"/>
      <c r="BO59" s="261"/>
      <c r="BP59" s="261"/>
      <c r="BQ59" s="261"/>
      <c r="BR59" s="261"/>
      <c r="BS59" s="261"/>
      <c r="BT59" s="261"/>
      <c r="BU59" s="261"/>
      <c r="BV59" s="261"/>
      <c r="BW59" s="261"/>
    </row>
    <row r="60" spans="1:75" ht="21.9" customHeight="1">
      <c r="B60" s="1554"/>
      <c r="C60" s="1555"/>
      <c r="D60" s="1555"/>
      <c r="E60" s="1556"/>
      <c r="F60" s="1345" t="str">
        <f>$S178</f>
        <v>Griekse koolsalade</v>
      </c>
      <c r="G60" s="1346"/>
      <c r="H60" s="1346"/>
      <c r="I60" s="1346"/>
      <c r="J60" s="1347"/>
      <c r="K60" s="273" t="s">
        <v>402</v>
      </c>
      <c r="L60" s="1351" t="str">
        <f>IF(K60="Klik &amp; Kies gewicht in grammen ---&gt;","",SUM(K60*T178/100))</f>
        <v/>
      </c>
      <c r="M60" s="1352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317"/>
      <c r="Y60" s="315"/>
      <c r="Z60" s="315"/>
      <c r="AA60" s="315"/>
      <c r="AB60" s="317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20"/>
      <c r="AR60" s="317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261"/>
      <c r="BJ60" s="261"/>
      <c r="BK60" s="261"/>
      <c r="BL60" s="261"/>
      <c r="BM60" s="261"/>
      <c r="BN60" s="261"/>
      <c r="BO60" s="261"/>
      <c r="BP60" s="261"/>
      <c r="BQ60" s="261"/>
      <c r="BR60" s="261"/>
      <c r="BS60" s="261"/>
      <c r="BT60" s="261"/>
      <c r="BU60" s="261"/>
      <c r="BV60" s="261"/>
      <c r="BW60" s="261"/>
    </row>
    <row r="61" spans="1:75" ht="21.9" customHeight="1">
      <c r="B61" s="1554"/>
      <c r="C61" s="1555"/>
      <c r="D61" s="1555"/>
      <c r="E61" s="1556"/>
      <c r="F61" s="1345" t="str">
        <f t="shared" ref="F61:F66" si="3">$S180</f>
        <v>Hollandse koude schotel</v>
      </c>
      <c r="G61" s="1346"/>
      <c r="H61" s="1346"/>
      <c r="I61" s="1346"/>
      <c r="J61" s="1347"/>
      <c r="K61" s="273" t="s">
        <v>402</v>
      </c>
      <c r="L61" s="1351" t="str">
        <f>IF(K61="Klik &amp; Kies gewicht in grammen ---&gt;","",SUM(K61*T180/100))</f>
        <v/>
      </c>
      <c r="M61" s="1352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317"/>
      <c r="Y61" s="315"/>
      <c r="Z61" s="315"/>
      <c r="AA61" s="315"/>
      <c r="AB61" s="317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20"/>
      <c r="AR61" s="317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261"/>
      <c r="BJ61" s="261"/>
      <c r="BK61" s="261"/>
      <c r="BL61" s="261"/>
      <c r="BM61" s="261"/>
      <c r="BN61" s="261"/>
      <c r="BO61" s="261"/>
      <c r="BP61" s="261"/>
      <c r="BQ61" s="261"/>
      <c r="BR61" s="261"/>
      <c r="BS61" s="261"/>
      <c r="BT61" s="261"/>
      <c r="BU61" s="261"/>
      <c r="BV61" s="261"/>
      <c r="BW61" s="261"/>
    </row>
    <row r="62" spans="1:75" ht="21.9" customHeight="1">
      <c r="B62" s="1554"/>
      <c r="C62" s="1555"/>
      <c r="D62" s="1555"/>
      <c r="E62" s="1556"/>
      <c r="F62" s="1345" t="str">
        <f t="shared" si="3"/>
        <v>Aardappelsalade</v>
      </c>
      <c r="G62" s="1346"/>
      <c r="H62" s="1346"/>
      <c r="I62" s="1346"/>
      <c r="J62" s="1347"/>
      <c r="K62" s="273" t="s">
        <v>402</v>
      </c>
      <c r="L62" s="1351" t="str">
        <f>IF(K62="Klik &amp; Kies gewicht in grammen ---&gt;","",SUM(K62*T181/100))</f>
        <v/>
      </c>
      <c r="M62" s="1352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317"/>
      <c r="Y62" s="315"/>
      <c r="Z62" s="315"/>
      <c r="AA62" s="315"/>
      <c r="AB62" s="317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20"/>
      <c r="AR62" s="317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261"/>
      <c r="BJ62" s="261"/>
      <c r="BK62" s="261"/>
      <c r="BL62" s="261"/>
      <c r="BM62" s="261"/>
      <c r="BN62" s="261"/>
      <c r="BO62" s="261"/>
      <c r="BP62" s="261"/>
      <c r="BQ62" s="261"/>
      <c r="BR62" s="261"/>
      <c r="BS62" s="261"/>
      <c r="BT62" s="261"/>
      <c r="BU62" s="261"/>
      <c r="BV62" s="261"/>
      <c r="BW62" s="261"/>
    </row>
    <row r="63" spans="1:75" ht="21.9" customHeight="1">
      <c r="B63" s="1554"/>
      <c r="C63" s="1555"/>
      <c r="D63" s="1555"/>
      <c r="E63" s="1556"/>
      <c r="F63" s="1345" t="str">
        <f t="shared" si="3"/>
        <v>Volta salade met tonijn</v>
      </c>
      <c r="G63" s="1346"/>
      <c r="H63" s="1346"/>
      <c r="I63" s="1346"/>
      <c r="J63" s="1347"/>
      <c r="K63" s="273" t="s">
        <v>402</v>
      </c>
      <c r="L63" s="1351" t="str">
        <f>IF(K63="Klik &amp; Kies gewicht in grammen ---&gt;","",SUM(K63*T182/100))</f>
        <v/>
      </c>
      <c r="M63" s="1352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317"/>
      <c r="Y63" s="315"/>
      <c r="Z63" s="315"/>
      <c r="AA63" s="315"/>
      <c r="AB63" s="317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20"/>
      <c r="AR63" s="317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261"/>
      <c r="BJ63" s="261"/>
      <c r="BK63" s="261"/>
      <c r="BL63" s="261"/>
      <c r="BM63" s="261"/>
      <c r="BN63" s="261"/>
      <c r="BO63" s="261"/>
      <c r="BP63" s="261"/>
      <c r="BQ63" s="261"/>
      <c r="BR63" s="261"/>
      <c r="BS63" s="261"/>
      <c r="BT63" s="261"/>
      <c r="BU63" s="261"/>
      <c r="BV63" s="261"/>
      <c r="BW63" s="261"/>
    </row>
    <row r="64" spans="1:75" ht="21.9" customHeight="1">
      <c r="B64" s="1554"/>
      <c r="C64" s="1555"/>
      <c r="D64" s="1555"/>
      <c r="E64" s="1556"/>
      <c r="F64" s="1345" t="str">
        <f t="shared" si="3"/>
        <v>Pastasalade VOLTA</v>
      </c>
      <c r="G64" s="1346"/>
      <c r="H64" s="1346"/>
      <c r="I64" s="1346"/>
      <c r="J64" s="1347"/>
      <c r="K64" s="273" t="s">
        <v>402</v>
      </c>
      <c r="L64" s="1351" t="str">
        <f>IF(K64="Klik &amp; Kies gewicht in grammen ---&gt;","",SUM(K64*T183/100))</f>
        <v/>
      </c>
      <c r="M64" s="1352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317"/>
      <c r="Y64" s="315"/>
      <c r="Z64" s="315"/>
      <c r="AA64" s="315"/>
      <c r="AB64" s="317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20"/>
      <c r="AR64" s="317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261"/>
      <c r="BJ64" s="261"/>
      <c r="BK64" s="261"/>
      <c r="BL64" s="261"/>
      <c r="BM64" s="261"/>
      <c r="BN64" s="261"/>
      <c r="BO64" s="261"/>
      <c r="BP64" s="261"/>
      <c r="BQ64" s="261"/>
      <c r="BR64" s="261"/>
      <c r="BS64" s="261"/>
      <c r="BT64" s="261"/>
      <c r="BU64" s="261"/>
      <c r="BV64" s="261"/>
      <c r="BW64" s="261"/>
    </row>
    <row r="65" spans="1:91" ht="21.9" customHeight="1">
      <c r="B65" s="1554"/>
      <c r="C65" s="1555"/>
      <c r="D65" s="1555"/>
      <c r="E65" s="1556"/>
      <c r="F65" s="1345" t="str">
        <f t="shared" si="3"/>
        <v>Pastasal. Kip pikant</v>
      </c>
      <c r="G65" s="1346"/>
      <c r="H65" s="1346"/>
      <c r="I65" s="1346"/>
      <c r="J65" s="1347"/>
      <c r="K65" s="273" t="s">
        <v>402</v>
      </c>
      <c r="L65" s="1351" t="str">
        <f t="shared" ref="L65" si="4">IF(K65="Klik &amp; Kies gewicht in grammen ---&gt;","",SUM(K65*T183/100))</f>
        <v/>
      </c>
      <c r="M65" s="1352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317"/>
      <c r="Y65" s="315"/>
      <c r="Z65" s="315"/>
      <c r="AA65" s="315"/>
      <c r="AB65" s="317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20"/>
      <c r="AR65" s="317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261"/>
      <c r="BJ65" s="261"/>
      <c r="BK65" s="261"/>
      <c r="BL65" s="261"/>
      <c r="BM65" s="261"/>
      <c r="BN65" s="261"/>
      <c r="BO65" s="261"/>
      <c r="BP65" s="261"/>
      <c r="BQ65" s="261"/>
      <c r="BR65" s="261"/>
      <c r="BS65" s="261"/>
      <c r="BT65" s="261"/>
      <c r="BU65" s="261"/>
      <c r="BV65" s="261"/>
      <c r="BW65" s="261"/>
    </row>
    <row r="66" spans="1:91" ht="21.9" customHeight="1" thickBot="1">
      <c r="B66" s="1557"/>
      <c r="C66" s="1558"/>
      <c r="D66" s="1558"/>
      <c r="E66" s="1559"/>
      <c r="F66" s="1363" t="str">
        <f t="shared" si="3"/>
        <v>Pastasalade spek</v>
      </c>
      <c r="G66" s="1364"/>
      <c r="H66" s="1364"/>
      <c r="I66" s="1364"/>
      <c r="J66" s="1365"/>
      <c r="K66" s="274" t="s">
        <v>402</v>
      </c>
      <c r="L66" s="1410" t="str">
        <f t="shared" ref="L66" si="5">IF(K66="Klik &amp; Kies gewicht in grammen ---&gt;","",SUM(K66*T184/100))</f>
        <v/>
      </c>
      <c r="M66" s="1411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317"/>
      <c r="Y66" s="315"/>
      <c r="Z66" s="315"/>
      <c r="AA66" s="315"/>
      <c r="AB66" s="317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20"/>
      <c r="AR66" s="317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261"/>
      <c r="BJ66" s="261"/>
      <c r="BK66" s="261"/>
      <c r="BL66" s="261"/>
      <c r="BM66" s="261"/>
      <c r="BN66" s="261"/>
      <c r="BO66" s="261"/>
      <c r="BP66" s="261"/>
      <c r="BQ66" s="261"/>
      <c r="BR66" s="261"/>
      <c r="BS66" s="261"/>
      <c r="BT66" s="261"/>
      <c r="BU66" s="261"/>
      <c r="BV66" s="261"/>
      <c r="BW66" s="261"/>
      <c r="BX66" s="261"/>
      <c r="BY66" s="261"/>
      <c r="BZ66" s="261"/>
      <c r="CA66" s="261"/>
      <c r="CB66" s="261"/>
      <c r="CC66" s="261"/>
      <c r="CD66" s="261"/>
      <c r="CE66" s="261"/>
      <c r="CF66" s="261"/>
      <c r="CG66" s="261"/>
      <c r="CH66" s="261"/>
      <c r="CI66" s="261"/>
      <c r="CJ66" s="261"/>
      <c r="CK66" s="261"/>
      <c r="CL66" s="261"/>
      <c r="CM66" s="261"/>
    </row>
    <row r="67" spans="1:91" ht="21.9" customHeight="1">
      <c r="B67" s="1560" t="s">
        <v>395</v>
      </c>
      <c r="C67" s="1561"/>
      <c r="D67" s="1561"/>
      <c r="E67" s="1562"/>
      <c r="F67" s="1569" t="s">
        <v>404</v>
      </c>
      <c r="G67" s="1570"/>
      <c r="H67" s="1570"/>
      <c r="I67" s="1570"/>
      <c r="J67" s="1571"/>
      <c r="K67" s="280" t="s">
        <v>402</v>
      </c>
      <c r="L67" s="1351" t="str">
        <f>IF(K67="Klik &amp; Kies gewicht in grammen ---&gt;","",SUM(N67:AG67)*K67/100)</f>
        <v/>
      </c>
      <c r="M67" s="1352"/>
      <c r="N67" s="217">
        <f>IF($F67=$U$175,$V$175,0)</f>
        <v>0</v>
      </c>
      <c r="O67" s="217">
        <f>IF($F67=$U$176,$V$176,0)</f>
        <v>0</v>
      </c>
      <c r="P67" s="217">
        <f>IF($F67=$U$177,$V$177,0)</f>
        <v>0</v>
      </c>
      <c r="Q67" s="217">
        <f>IF($F67=$U$178,$V$178,0)</f>
        <v>0</v>
      </c>
      <c r="R67" s="217">
        <f>IF($F67=$U$179,$V$179,0)</f>
        <v>0</v>
      </c>
      <c r="S67" s="217">
        <f>IF($F67=$U$180,$V$180,0)</f>
        <v>0</v>
      </c>
      <c r="T67" s="217">
        <f>IF($F67=$U$181,$V$181,0)</f>
        <v>0</v>
      </c>
      <c r="U67" s="217">
        <f>IF($F67=$U$182,$V$182,0)</f>
        <v>0</v>
      </c>
      <c r="V67" s="217">
        <f>IF($F67=$U$183,$V$183,0)</f>
        <v>0</v>
      </c>
      <c r="W67" s="217">
        <f>IF($F67=$U$184,$V$184,0)</f>
        <v>0</v>
      </c>
      <c r="X67" s="217">
        <f>IF($F67=$U$185,$V$185,0)</f>
        <v>0</v>
      </c>
      <c r="Y67" s="217">
        <f>IF($F67=$U$186,$V$186,0)</f>
        <v>0</v>
      </c>
      <c r="Z67" s="217">
        <f>IF($F67=$U$187,$V$187,0)</f>
        <v>0</v>
      </c>
      <c r="AA67" s="217">
        <f>IF($F67=$U$188,$V$188,0)</f>
        <v>0</v>
      </c>
      <c r="AB67" s="217">
        <f>IF($F67=$U$189,$V$189,0)</f>
        <v>0</v>
      </c>
      <c r="AC67" s="217">
        <f>IF($F67=$U$190,$V$190,0)</f>
        <v>0</v>
      </c>
      <c r="AD67" s="217">
        <f>IF($F67=$U$191,$V$191,0)</f>
        <v>0</v>
      </c>
      <c r="AE67" s="217">
        <f>IF($F67=$U$192,$V$192,0)</f>
        <v>0</v>
      </c>
      <c r="AF67" s="217">
        <f>IF($F67=$U$193,$V$193,0)</f>
        <v>0</v>
      </c>
      <c r="AG67" s="217">
        <f>IF($F67=$U$194,$V$194,0)</f>
        <v>0</v>
      </c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261"/>
      <c r="BJ67" s="261"/>
      <c r="BK67" s="261"/>
      <c r="BL67" s="261"/>
      <c r="BM67" s="261"/>
      <c r="BN67" s="261"/>
      <c r="BO67" s="261"/>
      <c r="BP67" s="261"/>
      <c r="BQ67" s="261"/>
      <c r="BR67" s="261"/>
      <c r="BS67" s="261"/>
      <c r="BT67" s="261"/>
      <c r="BU67" s="261"/>
      <c r="BV67" s="261"/>
      <c r="BW67" s="261"/>
      <c r="BX67" s="261"/>
      <c r="BY67" s="261"/>
      <c r="BZ67" s="261"/>
      <c r="CA67" s="261"/>
      <c r="CB67" s="261"/>
      <c r="CC67" s="261"/>
      <c r="CD67" s="261"/>
      <c r="CE67" s="261"/>
      <c r="CF67" s="261"/>
      <c r="CG67" s="261"/>
      <c r="CH67" s="261"/>
      <c r="CI67" s="261"/>
      <c r="CJ67" s="261"/>
      <c r="CK67" s="261"/>
      <c r="CL67" s="261"/>
      <c r="CM67" s="261"/>
    </row>
    <row r="68" spans="1:91" ht="21.9" customHeight="1">
      <c r="B68" s="1563"/>
      <c r="C68" s="1564"/>
      <c r="D68" s="1564"/>
      <c r="E68" s="1565"/>
      <c r="F68" s="1572" t="s">
        <v>404</v>
      </c>
      <c r="G68" s="1573"/>
      <c r="H68" s="1573"/>
      <c r="I68" s="1573"/>
      <c r="J68" s="1574"/>
      <c r="K68" s="273" t="s">
        <v>402</v>
      </c>
      <c r="L68" s="1351" t="str">
        <f t="shared" ref="L68:L75" si="6">IF(K68="Klik &amp; Kies gewicht in grammen ---&gt;","",SUM(N68:AG68)*K68/100)</f>
        <v/>
      </c>
      <c r="M68" s="1352"/>
      <c r="N68" s="217">
        <f t="shared" ref="N68:N75" si="7">IF(F68=$U$175,$V$175,0)</f>
        <v>0</v>
      </c>
      <c r="O68" s="217">
        <f t="shared" ref="O68:O75" si="8">IF(F68=$U$176,$V$176,0)</f>
        <v>0</v>
      </c>
      <c r="P68" s="217">
        <f t="shared" ref="P68:P75" si="9">IF($F68=$U$177,$V$177,0)</f>
        <v>0</v>
      </c>
      <c r="Q68" s="217">
        <f t="shared" ref="Q68:Q75" si="10">IF($F68=$U$178,$V$178,0)</f>
        <v>0</v>
      </c>
      <c r="R68" s="217">
        <f t="shared" ref="R68:R75" si="11">IF($F68=$U$179,$V$179,0)</f>
        <v>0</v>
      </c>
      <c r="S68" s="217">
        <f t="shared" ref="S68:S75" si="12">IF($F68=$U$180,$V$180,0)</f>
        <v>0</v>
      </c>
      <c r="T68" s="217">
        <f t="shared" ref="T68:T75" si="13">IF($F68=$U$181,$V$181,0)</f>
        <v>0</v>
      </c>
      <c r="U68" s="217">
        <f t="shared" ref="U68:U75" si="14">IF($F68=$U$182,$V$182,0)</f>
        <v>0</v>
      </c>
      <c r="V68" s="217">
        <f t="shared" ref="V68:V75" si="15">IF($F68=$U$183,$V$183,0)</f>
        <v>0</v>
      </c>
      <c r="W68" s="217">
        <f t="shared" ref="W68:W75" si="16">IF($F68=$U$184,$V$184,0)</f>
        <v>0</v>
      </c>
      <c r="X68" s="217">
        <f t="shared" ref="X68:X75" si="17">IF($F68=$U$185,$V$185,0)</f>
        <v>0</v>
      </c>
      <c r="Y68" s="217">
        <f t="shared" ref="Y68:Y75" si="18">IF($F68=$U$186,$V$186,0)</f>
        <v>0</v>
      </c>
      <c r="Z68" s="217">
        <f t="shared" ref="Z68:Z75" si="19">IF($F68=$U$187,$V$187,0)</f>
        <v>0</v>
      </c>
      <c r="AA68" s="217">
        <f t="shared" ref="AA68:AA75" si="20">IF($F68=$U$188,$V$188,0)</f>
        <v>0</v>
      </c>
      <c r="AB68" s="217">
        <f t="shared" ref="AB68:AB75" si="21">IF($F68=$U$189,$V$189,0)</f>
        <v>0</v>
      </c>
      <c r="AC68" s="217">
        <f t="shared" ref="AC68:AC75" si="22">IF($F68=$U$190,$V$190,0)</f>
        <v>0</v>
      </c>
      <c r="AD68" s="217">
        <f t="shared" ref="AD68:AD75" si="23">IF($F68=$U$191,$V$191,0)</f>
        <v>0</v>
      </c>
      <c r="AE68" s="217">
        <f t="shared" ref="AE68:AE75" si="24">IF($F68=$U$192,$V$192,0)</f>
        <v>0</v>
      </c>
      <c r="AF68" s="217">
        <f t="shared" ref="AF68:AF75" si="25">IF($F68=$U$193,$V$193,0)</f>
        <v>0</v>
      </c>
      <c r="AG68" s="217">
        <f t="shared" ref="AG68:AG75" si="26">IF($F68=$U$194,$V$194,0)</f>
        <v>0</v>
      </c>
      <c r="AH68" s="315"/>
      <c r="AI68" s="315"/>
      <c r="AJ68" s="315"/>
      <c r="AK68" s="315"/>
      <c r="AL68" s="315"/>
      <c r="AM68" s="315"/>
      <c r="AN68" s="315"/>
      <c r="AO68" s="315"/>
      <c r="AP68" s="315"/>
      <c r="AQ68" s="320"/>
      <c r="AR68" s="317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261"/>
      <c r="BJ68" s="261"/>
      <c r="BK68" s="261"/>
      <c r="BL68" s="261"/>
      <c r="BM68" s="261"/>
      <c r="BN68" s="261"/>
      <c r="BO68" s="261"/>
      <c r="BP68" s="261"/>
      <c r="BQ68" s="261"/>
      <c r="BR68" s="261"/>
      <c r="BS68" s="261"/>
      <c r="BT68" s="261"/>
      <c r="BU68" s="261"/>
      <c r="BV68" s="261"/>
      <c r="BW68" s="261"/>
    </row>
    <row r="69" spans="1:91" ht="21.9" customHeight="1">
      <c r="B69" s="1563"/>
      <c r="C69" s="1564"/>
      <c r="D69" s="1564"/>
      <c r="E69" s="1565"/>
      <c r="F69" s="1575" t="s">
        <v>404</v>
      </c>
      <c r="G69" s="1576"/>
      <c r="H69" s="1576"/>
      <c r="I69" s="1576"/>
      <c r="J69" s="1577"/>
      <c r="K69" s="273" t="s">
        <v>402</v>
      </c>
      <c r="L69" s="1351" t="str">
        <f t="shared" si="6"/>
        <v/>
      </c>
      <c r="M69" s="1352"/>
      <c r="N69" s="217">
        <f t="shared" si="7"/>
        <v>0</v>
      </c>
      <c r="O69" s="217">
        <f t="shared" si="8"/>
        <v>0</v>
      </c>
      <c r="P69" s="217">
        <f t="shared" si="9"/>
        <v>0</v>
      </c>
      <c r="Q69" s="217">
        <f t="shared" si="10"/>
        <v>0</v>
      </c>
      <c r="R69" s="217">
        <f t="shared" si="11"/>
        <v>0</v>
      </c>
      <c r="S69" s="217">
        <f t="shared" si="12"/>
        <v>0</v>
      </c>
      <c r="T69" s="217">
        <f t="shared" si="13"/>
        <v>0</v>
      </c>
      <c r="U69" s="217">
        <f t="shared" si="14"/>
        <v>0</v>
      </c>
      <c r="V69" s="217">
        <f t="shared" si="15"/>
        <v>0</v>
      </c>
      <c r="W69" s="217">
        <f t="shared" si="16"/>
        <v>0</v>
      </c>
      <c r="X69" s="217">
        <f t="shared" si="17"/>
        <v>0</v>
      </c>
      <c r="Y69" s="217">
        <f t="shared" si="18"/>
        <v>0</v>
      </c>
      <c r="Z69" s="217">
        <f t="shared" si="19"/>
        <v>0</v>
      </c>
      <c r="AA69" s="217">
        <f t="shared" si="20"/>
        <v>0</v>
      </c>
      <c r="AB69" s="217">
        <f t="shared" si="21"/>
        <v>0</v>
      </c>
      <c r="AC69" s="217">
        <f t="shared" si="22"/>
        <v>0</v>
      </c>
      <c r="AD69" s="217">
        <f t="shared" si="23"/>
        <v>0</v>
      </c>
      <c r="AE69" s="217">
        <f t="shared" si="24"/>
        <v>0</v>
      </c>
      <c r="AF69" s="217">
        <f t="shared" si="25"/>
        <v>0</v>
      </c>
      <c r="AG69" s="217">
        <f t="shared" si="26"/>
        <v>0</v>
      </c>
      <c r="AH69" s="315"/>
      <c r="AI69" s="315"/>
      <c r="AJ69" s="315"/>
      <c r="AK69" s="315"/>
      <c r="AL69" s="315"/>
      <c r="AM69" s="315"/>
      <c r="AN69" s="315"/>
      <c r="AO69" s="315"/>
      <c r="AP69" s="315"/>
      <c r="AQ69" s="320"/>
      <c r="AR69" s="317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261"/>
      <c r="BJ69" s="261"/>
      <c r="BK69" s="261"/>
      <c r="BL69" s="261"/>
      <c r="BM69" s="261"/>
      <c r="BN69" s="261"/>
      <c r="BO69" s="261"/>
      <c r="BP69" s="261"/>
      <c r="BQ69" s="261"/>
      <c r="BR69" s="261"/>
      <c r="BS69" s="261"/>
      <c r="BT69" s="261"/>
      <c r="BU69" s="261"/>
      <c r="BV69" s="261"/>
      <c r="BW69" s="261"/>
    </row>
    <row r="70" spans="1:91" ht="21.9" customHeight="1">
      <c r="B70" s="1563"/>
      <c r="C70" s="1564"/>
      <c r="D70" s="1564"/>
      <c r="E70" s="1565"/>
      <c r="F70" s="1360" t="s">
        <v>404</v>
      </c>
      <c r="G70" s="1361"/>
      <c r="H70" s="1361"/>
      <c r="I70" s="1361"/>
      <c r="J70" s="1362"/>
      <c r="K70" s="273" t="s">
        <v>402</v>
      </c>
      <c r="L70" s="1351" t="str">
        <f t="shared" si="6"/>
        <v/>
      </c>
      <c r="M70" s="1352"/>
      <c r="N70" s="217">
        <f t="shared" si="7"/>
        <v>0</v>
      </c>
      <c r="O70" s="217">
        <f t="shared" si="8"/>
        <v>0</v>
      </c>
      <c r="P70" s="217">
        <f t="shared" si="9"/>
        <v>0</v>
      </c>
      <c r="Q70" s="217">
        <f t="shared" si="10"/>
        <v>0</v>
      </c>
      <c r="R70" s="217">
        <f t="shared" si="11"/>
        <v>0</v>
      </c>
      <c r="S70" s="217">
        <f t="shared" si="12"/>
        <v>0</v>
      </c>
      <c r="T70" s="217">
        <f t="shared" si="13"/>
        <v>0</v>
      </c>
      <c r="U70" s="217">
        <f t="shared" si="14"/>
        <v>0</v>
      </c>
      <c r="V70" s="217">
        <f t="shared" si="15"/>
        <v>0</v>
      </c>
      <c r="W70" s="217">
        <f t="shared" si="16"/>
        <v>0</v>
      </c>
      <c r="X70" s="217">
        <f t="shared" si="17"/>
        <v>0</v>
      </c>
      <c r="Y70" s="217">
        <f t="shared" si="18"/>
        <v>0</v>
      </c>
      <c r="Z70" s="217">
        <f t="shared" si="19"/>
        <v>0</v>
      </c>
      <c r="AA70" s="217">
        <f t="shared" si="20"/>
        <v>0</v>
      </c>
      <c r="AB70" s="217">
        <f t="shared" si="21"/>
        <v>0</v>
      </c>
      <c r="AC70" s="217">
        <f t="shared" si="22"/>
        <v>0</v>
      </c>
      <c r="AD70" s="217">
        <f t="shared" si="23"/>
        <v>0</v>
      </c>
      <c r="AE70" s="217">
        <f t="shared" si="24"/>
        <v>0</v>
      </c>
      <c r="AF70" s="217">
        <f t="shared" si="25"/>
        <v>0</v>
      </c>
      <c r="AG70" s="217">
        <f t="shared" si="26"/>
        <v>0</v>
      </c>
      <c r="AH70" s="315"/>
      <c r="AI70" s="315"/>
      <c r="AJ70" s="315"/>
      <c r="AK70" s="315"/>
      <c r="AL70" s="315"/>
      <c r="AM70" s="315"/>
      <c r="AN70" s="315"/>
      <c r="AO70" s="315"/>
      <c r="AP70" s="315"/>
      <c r="AQ70" s="320"/>
      <c r="AR70" s="317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261"/>
      <c r="BJ70" s="261"/>
      <c r="BK70" s="261"/>
      <c r="BL70" s="261"/>
      <c r="BM70" s="261"/>
      <c r="BN70" s="261"/>
      <c r="BO70" s="261"/>
      <c r="BP70" s="261"/>
      <c r="BQ70" s="261"/>
      <c r="BR70" s="261"/>
      <c r="BS70" s="261"/>
      <c r="BT70" s="261"/>
      <c r="BU70" s="261"/>
      <c r="BV70" s="261"/>
      <c r="BW70" s="261"/>
    </row>
    <row r="71" spans="1:91" ht="21.9" customHeight="1">
      <c r="B71" s="1563"/>
      <c r="C71" s="1564"/>
      <c r="D71" s="1564"/>
      <c r="E71" s="1565"/>
      <c r="F71" s="1360" t="s">
        <v>404</v>
      </c>
      <c r="G71" s="1361"/>
      <c r="H71" s="1361"/>
      <c r="I71" s="1361"/>
      <c r="J71" s="1362"/>
      <c r="K71" s="273" t="s">
        <v>402</v>
      </c>
      <c r="L71" s="1351" t="str">
        <f t="shared" si="6"/>
        <v/>
      </c>
      <c r="M71" s="1352"/>
      <c r="N71" s="217">
        <f t="shared" si="7"/>
        <v>0</v>
      </c>
      <c r="O71" s="217">
        <f t="shared" si="8"/>
        <v>0</v>
      </c>
      <c r="P71" s="217">
        <f t="shared" si="9"/>
        <v>0</v>
      </c>
      <c r="Q71" s="217">
        <f t="shared" si="10"/>
        <v>0</v>
      </c>
      <c r="R71" s="217">
        <f t="shared" si="11"/>
        <v>0</v>
      </c>
      <c r="S71" s="217">
        <f t="shared" si="12"/>
        <v>0</v>
      </c>
      <c r="T71" s="217">
        <f t="shared" si="13"/>
        <v>0</v>
      </c>
      <c r="U71" s="217">
        <f t="shared" si="14"/>
        <v>0</v>
      </c>
      <c r="V71" s="217">
        <f t="shared" si="15"/>
        <v>0</v>
      </c>
      <c r="W71" s="217">
        <f t="shared" si="16"/>
        <v>0</v>
      </c>
      <c r="X71" s="217">
        <f t="shared" si="17"/>
        <v>0</v>
      </c>
      <c r="Y71" s="217">
        <f t="shared" si="18"/>
        <v>0</v>
      </c>
      <c r="Z71" s="217">
        <f t="shared" si="19"/>
        <v>0</v>
      </c>
      <c r="AA71" s="217">
        <f t="shared" si="20"/>
        <v>0</v>
      </c>
      <c r="AB71" s="217">
        <f t="shared" si="21"/>
        <v>0</v>
      </c>
      <c r="AC71" s="217">
        <f t="shared" si="22"/>
        <v>0</v>
      </c>
      <c r="AD71" s="217">
        <f t="shared" si="23"/>
        <v>0</v>
      </c>
      <c r="AE71" s="217">
        <f t="shared" si="24"/>
        <v>0</v>
      </c>
      <c r="AF71" s="217">
        <f t="shared" si="25"/>
        <v>0</v>
      </c>
      <c r="AG71" s="217">
        <f t="shared" si="26"/>
        <v>0</v>
      </c>
      <c r="AH71" s="315"/>
      <c r="AI71" s="315"/>
      <c r="AJ71" s="315"/>
      <c r="AK71" s="315"/>
      <c r="AL71" s="315"/>
      <c r="AM71" s="315"/>
      <c r="AN71" s="315"/>
      <c r="AO71" s="315"/>
      <c r="AP71" s="315"/>
      <c r="AQ71" s="320"/>
      <c r="AR71" s="317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261"/>
      <c r="BJ71" s="261"/>
      <c r="BK71" s="261"/>
      <c r="BL71" s="261"/>
      <c r="BM71" s="261"/>
      <c r="BN71" s="261"/>
      <c r="BO71" s="261"/>
      <c r="BP71" s="261"/>
      <c r="BQ71" s="261"/>
      <c r="BR71" s="261"/>
      <c r="BS71" s="261"/>
      <c r="BT71" s="261"/>
      <c r="BU71" s="261"/>
      <c r="BV71" s="261"/>
      <c r="BW71" s="261"/>
    </row>
    <row r="72" spans="1:91" ht="21.9" customHeight="1">
      <c r="B72" s="1563"/>
      <c r="C72" s="1564"/>
      <c r="D72" s="1564"/>
      <c r="E72" s="1565"/>
      <c r="F72" s="1360" t="s">
        <v>404</v>
      </c>
      <c r="G72" s="1361"/>
      <c r="H72" s="1361"/>
      <c r="I72" s="1361"/>
      <c r="J72" s="1362"/>
      <c r="K72" s="273" t="s">
        <v>402</v>
      </c>
      <c r="L72" s="1351" t="str">
        <f t="shared" si="6"/>
        <v/>
      </c>
      <c r="M72" s="1352"/>
      <c r="N72" s="217">
        <f t="shared" si="7"/>
        <v>0</v>
      </c>
      <c r="O72" s="217">
        <f t="shared" si="8"/>
        <v>0</v>
      </c>
      <c r="P72" s="217">
        <f t="shared" si="9"/>
        <v>0</v>
      </c>
      <c r="Q72" s="217">
        <f t="shared" si="10"/>
        <v>0</v>
      </c>
      <c r="R72" s="217">
        <f t="shared" si="11"/>
        <v>0</v>
      </c>
      <c r="S72" s="217">
        <f t="shared" si="12"/>
        <v>0</v>
      </c>
      <c r="T72" s="217">
        <f t="shared" si="13"/>
        <v>0</v>
      </c>
      <c r="U72" s="217">
        <f t="shared" si="14"/>
        <v>0</v>
      </c>
      <c r="V72" s="217">
        <f t="shared" si="15"/>
        <v>0</v>
      </c>
      <c r="W72" s="217">
        <f t="shared" si="16"/>
        <v>0</v>
      </c>
      <c r="X72" s="217">
        <f t="shared" si="17"/>
        <v>0</v>
      </c>
      <c r="Y72" s="217">
        <f t="shared" si="18"/>
        <v>0</v>
      </c>
      <c r="Z72" s="217">
        <f t="shared" si="19"/>
        <v>0</v>
      </c>
      <c r="AA72" s="217">
        <f t="shared" si="20"/>
        <v>0</v>
      </c>
      <c r="AB72" s="217">
        <f t="shared" si="21"/>
        <v>0</v>
      </c>
      <c r="AC72" s="217">
        <f t="shared" si="22"/>
        <v>0</v>
      </c>
      <c r="AD72" s="217">
        <f t="shared" si="23"/>
        <v>0</v>
      </c>
      <c r="AE72" s="217">
        <f t="shared" si="24"/>
        <v>0</v>
      </c>
      <c r="AF72" s="217">
        <f t="shared" si="25"/>
        <v>0</v>
      </c>
      <c r="AG72" s="217">
        <f t="shared" si="26"/>
        <v>0</v>
      </c>
      <c r="AH72" s="315"/>
      <c r="AI72" s="315"/>
      <c r="AJ72" s="315"/>
      <c r="AK72" s="315"/>
      <c r="AL72" s="315"/>
      <c r="AM72" s="315"/>
      <c r="AN72" s="315"/>
      <c r="AO72" s="315"/>
      <c r="AP72" s="315"/>
      <c r="AQ72" s="320"/>
      <c r="AR72" s="317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261"/>
      <c r="BJ72" s="261"/>
      <c r="BK72" s="261"/>
      <c r="BL72" s="261"/>
      <c r="BM72" s="261"/>
      <c r="BN72" s="261"/>
      <c r="BO72" s="261"/>
      <c r="BP72" s="261"/>
      <c r="BQ72" s="261"/>
      <c r="BR72" s="261"/>
      <c r="BS72" s="261"/>
      <c r="BT72" s="261"/>
      <c r="BU72" s="261"/>
      <c r="BV72" s="261"/>
      <c r="BW72" s="261"/>
    </row>
    <row r="73" spans="1:91" ht="21.9" customHeight="1">
      <c r="B73" s="1563"/>
      <c r="C73" s="1564"/>
      <c r="D73" s="1564"/>
      <c r="E73" s="1565"/>
      <c r="F73" s="1360" t="s">
        <v>404</v>
      </c>
      <c r="G73" s="1361"/>
      <c r="H73" s="1361"/>
      <c r="I73" s="1361"/>
      <c r="J73" s="1362"/>
      <c r="K73" s="273" t="s">
        <v>402</v>
      </c>
      <c r="L73" s="1351" t="str">
        <f t="shared" si="6"/>
        <v/>
      </c>
      <c r="M73" s="1352"/>
      <c r="N73" s="217">
        <f t="shared" si="7"/>
        <v>0</v>
      </c>
      <c r="O73" s="217">
        <f t="shared" si="8"/>
        <v>0</v>
      </c>
      <c r="P73" s="217">
        <f t="shared" si="9"/>
        <v>0</v>
      </c>
      <c r="Q73" s="217">
        <f t="shared" si="10"/>
        <v>0</v>
      </c>
      <c r="R73" s="217">
        <f t="shared" si="11"/>
        <v>0</v>
      </c>
      <c r="S73" s="217">
        <f t="shared" si="12"/>
        <v>0</v>
      </c>
      <c r="T73" s="217">
        <f t="shared" si="13"/>
        <v>0</v>
      </c>
      <c r="U73" s="217">
        <f t="shared" si="14"/>
        <v>0</v>
      </c>
      <c r="V73" s="217">
        <f t="shared" si="15"/>
        <v>0</v>
      </c>
      <c r="W73" s="217">
        <f t="shared" si="16"/>
        <v>0</v>
      </c>
      <c r="X73" s="217">
        <f t="shared" si="17"/>
        <v>0</v>
      </c>
      <c r="Y73" s="217">
        <f t="shared" si="18"/>
        <v>0</v>
      </c>
      <c r="Z73" s="217">
        <f t="shared" si="19"/>
        <v>0</v>
      </c>
      <c r="AA73" s="217">
        <f t="shared" si="20"/>
        <v>0</v>
      </c>
      <c r="AB73" s="217">
        <f t="shared" si="21"/>
        <v>0</v>
      </c>
      <c r="AC73" s="217">
        <f t="shared" si="22"/>
        <v>0</v>
      </c>
      <c r="AD73" s="217">
        <f t="shared" si="23"/>
        <v>0</v>
      </c>
      <c r="AE73" s="217">
        <f t="shared" si="24"/>
        <v>0</v>
      </c>
      <c r="AF73" s="217">
        <f t="shared" si="25"/>
        <v>0</v>
      </c>
      <c r="AG73" s="217">
        <f t="shared" si="26"/>
        <v>0</v>
      </c>
      <c r="AH73" s="315"/>
      <c r="AI73" s="315"/>
      <c r="AJ73" s="315"/>
      <c r="AK73" s="315"/>
      <c r="AL73" s="315"/>
      <c r="AM73" s="315"/>
      <c r="AN73" s="315"/>
      <c r="AO73" s="315"/>
      <c r="AP73" s="315"/>
      <c r="AQ73" s="320"/>
      <c r="AR73" s="317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261"/>
      <c r="BJ73" s="261"/>
      <c r="BK73" s="261"/>
      <c r="BL73" s="261"/>
      <c r="BM73" s="261"/>
      <c r="BN73" s="261"/>
      <c r="BO73" s="261"/>
      <c r="BP73" s="261"/>
      <c r="BQ73" s="261"/>
      <c r="BR73" s="261"/>
      <c r="BS73" s="261"/>
      <c r="BT73" s="261"/>
      <c r="BU73" s="261"/>
      <c r="BV73" s="261"/>
      <c r="BW73" s="261"/>
    </row>
    <row r="74" spans="1:91" ht="21.9" customHeight="1">
      <c r="B74" s="1563"/>
      <c r="C74" s="1564"/>
      <c r="D74" s="1564"/>
      <c r="E74" s="1565"/>
      <c r="F74" s="1360" t="s">
        <v>404</v>
      </c>
      <c r="G74" s="1361"/>
      <c r="H74" s="1361"/>
      <c r="I74" s="1361"/>
      <c r="J74" s="1362"/>
      <c r="K74" s="273" t="s">
        <v>402</v>
      </c>
      <c r="L74" s="1351" t="str">
        <f t="shared" si="6"/>
        <v/>
      </c>
      <c r="M74" s="1352"/>
      <c r="N74" s="217">
        <f t="shared" si="7"/>
        <v>0</v>
      </c>
      <c r="O74" s="217">
        <f t="shared" si="8"/>
        <v>0</v>
      </c>
      <c r="P74" s="217">
        <f t="shared" si="9"/>
        <v>0</v>
      </c>
      <c r="Q74" s="217">
        <f t="shared" si="10"/>
        <v>0</v>
      </c>
      <c r="R74" s="217">
        <f t="shared" si="11"/>
        <v>0</v>
      </c>
      <c r="S74" s="217">
        <f t="shared" si="12"/>
        <v>0</v>
      </c>
      <c r="T74" s="217">
        <f t="shared" si="13"/>
        <v>0</v>
      </c>
      <c r="U74" s="217">
        <f t="shared" si="14"/>
        <v>0</v>
      </c>
      <c r="V74" s="217">
        <f t="shared" si="15"/>
        <v>0</v>
      </c>
      <c r="W74" s="217">
        <f t="shared" si="16"/>
        <v>0</v>
      </c>
      <c r="X74" s="217">
        <f t="shared" si="17"/>
        <v>0</v>
      </c>
      <c r="Y74" s="217">
        <f t="shared" si="18"/>
        <v>0</v>
      </c>
      <c r="Z74" s="217">
        <f t="shared" si="19"/>
        <v>0</v>
      </c>
      <c r="AA74" s="217">
        <f t="shared" si="20"/>
        <v>0</v>
      </c>
      <c r="AB74" s="217">
        <f t="shared" si="21"/>
        <v>0</v>
      </c>
      <c r="AC74" s="217">
        <f t="shared" si="22"/>
        <v>0</v>
      </c>
      <c r="AD74" s="217">
        <f t="shared" si="23"/>
        <v>0</v>
      </c>
      <c r="AE74" s="217">
        <f t="shared" si="24"/>
        <v>0</v>
      </c>
      <c r="AF74" s="217">
        <f t="shared" si="25"/>
        <v>0</v>
      </c>
      <c r="AG74" s="217">
        <f t="shared" si="26"/>
        <v>0</v>
      </c>
      <c r="AH74" s="315"/>
      <c r="AI74" s="315"/>
      <c r="AJ74" s="315"/>
      <c r="AK74" s="315"/>
      <c r="AL74" s="315"/>
      <c r="AM74" s="315"/>
      <c r="AN74" s="315"/>
      <c r="AO74" s="315"/>
      <c r="AP74" s="315"/>
      <c r="AQ74" s="320"/>
      <c r="AR74" s="317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261"/>
      <c r="BJ74" s="261"/>
      <c r="BK74" s="261"/>
      <c r="BL74" s="261"/>
      <c r="BM74" s="261"/>
      <c r="BN74" s="261"/>
      <c r="BO74" s="261"/>
      <c r="BP74" s="261"/>
      <c r="BQ74" s="261"/>
      <c r="BR74" s="261"/>
      <c r="BS74" s="261"/>
      <c r="BT74" s="261"/>
      <c r="BU74" s="261"/>
      <c r="BV74" s="261"/>
      <c r="BW74" s="261"/>
    </row>
    <row r="75" spans="1:91" ht="21.9" customHeight="1" thickBot="1">
      <c r="B75" s="1566"/>
      <c r="C75" s="1567"/>
      <c r="D75" s="1567"/>
      <c r="E75" s="1568"/>
      <c r="F75" s="1578" t="s">
        <v>404</v>
      </c>
      <c r="G75" s="1579"/>
      <c r="H75" s="1579"/>
      <c r="I75" s="1579"/>
      <c r="J75" s="1580"/>
      <c r="K75" s="273" t="s">
        <v>402</v>
      </c>
      <c r="L75" s="1351" t="str">
        <f t="shared" si="6"/>
        <v/>
      </c>
      <c r="M75" s="1352"/>
      <c r="N75" s="217">
        <f t="shared" si="7"/>
        <v>0</v>
      </c>
      <c r="O75" s="217">
        <f t="shared" si="8"/>
        <v>0</v>
      </c>
      <c r="P75" s="217">
        <f t="shared" si="9"/>
        <v>0</v>
      </c>
      <c r="Q75" s="217">
        <f t="shared" si="10"/>
        <v>0</v>
      </c>
      <c r="R75" s="217">
        <f t="shared" si="11"/>
        <v>0</v>
      </c>
      <c r="S75" s="217">
        <f t="shared" si="12"/>
        <v>0</v>
      </c>
      <c r="T75" s="217">
        <f t="shared" si="13"/>
        <v>0</v>
      </c>
      <c r="U75" s="217">
        <f t="shared" si="14"/>
        <v>0</v>
      </c>
      <c r="V75" s="217">
        <f t="shared" si="15"/>
        <v>0</v>
      </c>
      <c r="W75" s="217">
        <f t="shared" si="16"/>
        <v>0</v>
      </c>
      <c r="X75" s="217">
        <f t="shared" si="17"/>
        <v>0</v>
      </c>
      <c r="Y75" s="217">
        <f t="shared" si="18"/>
        <v>0</v>
      </c>
      <c r="Z75" s="217">
        <f t="shared" si="19"/>
        <v>0</v>
      </c>
      <c r="AA75" s="217">
        <f t="shared" si="20"/>
        <v>0</v>
      </c>
      <c r="AB75" s="217">
        <f t="shared" si="21"/>
        <v>0</v>
      </c>
      <c r="AC75" s="217">
        <f t="shared" si="22"/>
        <v>0</v>
      </c>
      <c r="AD75" s="217">
        <f t="shared" si="23"/>
        <v>0</v>
      </c>
      <c r="AE75" s="217">
        <f t="shared" si="24"/>
        <v>0</v>
      </c>
      <c r="AF75" s="217">
        <f t="shared" si="25"/>
        <v>0</v>
      </c>
      <c r="AG75" s="217">
        <f t="shared" si="26"/>
        <v>0</v>
      </c>
      <c r="AH75" s="315"/>
      <c r="AI75" s="315"/>
      <c r="AJ75" s="315"/>
      <c r="AK75" s="315"/>
      <c r="AL75" s="315"/>
      <c r="AM75" s="315"/>
      <c r="AN75" s="315"/>
      <c r="AO75" s="315"/>
      <c r="AP75" s="315"/>
      <c r="AQ75" s="320"/>
      <c r="AR75" s="317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261"/>
      <c r="BJ75" s="261"/>
      <c r="BK75" s="261"/>
      <c r="BL75" s="261"/>
      <c r="BM75" s="261"/>
      <c r="BN75" s="261"/>
      <c r="BO75" s="261"/>
      <c r="BP75" s="261"/>
      <c r="BQ75" s="261"/>
      <c r="BR75" s="261"/>
      <c r="BS75" s="261"/>
      <c r="BT75" s="261"/>
      <c r="BU75" s="261"/>
      <c r="BV75" s="261"/>
      <c r="BW75" s="261"/>
    </row>
    <row r="76" spans="1:91" ht="21.9" customHeight="1" thickBot="1">
      <c r="A76" s="276"/>
      <c r="B76" s="1477" t="s">
        <v>396</v>
      </c>
      <c r="C76" s="1477"/>
      <c r="D76" s="1477"/>
      <c r="E76" s="1478"/>
      <c r="F76" s="1597" t="s">
        <v>524</v>
      </c>
      <c r="G76" s="1598"/>
      <c r="H76" s="1598"/>
      <c r="I76" s="1598"/>
      <c r="J76" s="1599"/>
      <c r="K76" s="281" t="s">
        <v>403</v>
      </c>
      <c r="L76" s="1452" t="str">
        <f>IF(K76="klik &amp; kies aantal cups ---&gt;","",SUM(K76*0.55))</f>
        <v/>
      </c>
      <c r="M76" s="1453"/>
      <c r="N76" s="217"/>
      <c r="O76" s="315"/>
      <c r="P76" s="315"/>
      <c r="Q76" s="315"/>
      <c r="R76" s="798"/>
      <c r="S76" s="798"/>
      <c r="T76" s="798"/>
      <c r="U76" s="798"/>
      <c r="V76" s="798"/>
      <c r="W76" s="798"/>
      <c r="X76" s="317"/>
      <c r="Y76" s="315"/>
      <c r="Z76" s="315"/>
      <c r="AA76" s="315"/>
      <c r="AB76" s="317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20"/>
      <c r="AR76" s="317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261"/>
      <c r="BJ76" s="261"/>
      <c r="BK76" s="261"/>
      <c r="BL76" s="261"/>
      <c r="BM76" s="261"/>
      <c r="BN76" s="261"/>
      <c r="BO76" s="261"/>
      <c r="BP76" s="261"/>
      <c r="BQ76" s="261"/>
      <c r="BR76" s="261"/>
      <c r="BS76" s="261"/>
      <c r="BT76" s="261"/>
      <c r="BU76" s="261"/>
      <c r="BV76" s="261"/>
      <c r="BW76" s="261"/>
    </row>
    <row r="77" spans="1:91" ht="21.9" customHeight="1">
      <c r="A77" s="276"/>
      <c r="B77" s="1470" t="s">
        <v>397</v>
      </c>
      <c r="C77" s="1470"/>
      <c r="D77" s="1470"/>
      <c r="E77" s="1470"/>
      <c r="F77" s="1488" t="s">
        <v>406</v>
      </c>
      <c r="G77" s="1489"/>
      <c r="H77" s="1489"/>
      <c r="I77" s="1489"/>
      <c r="J77" s="1490"/>
      <c r="K77" s="279" t="s">
        <v>408</v>
      </c>
      <c r="L77" s="1475" t="str">
        <f>IF(K77="klik &amp; kies aantal ½ stokbroodjes ---&gt;","",SUM(K77*1.1))</f>
        <v/>
      </c>
      <c r="M77" s="1476"/>
      <c r="N77" s="217"/>
      <c r="O77" s="217"/>
      <c r="P77" s="315"/>
      <c r="Q77" s="315"/>
      <c r="R77" s="799"/>
      <c r="S77" s="799"/>
      <c r="T77" s="799"/>
      <c r="U77" s="799"/>
      <c r="V77" s="799"/>
      <c r="W77" s="799"/>
      <c r="X77" s="317"/>
      <c r="Y77" s="315"/>
      <c r="Z77" s="315"/>
      <c r="AA77" s="315"/>
      <c r="AB77" s="317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20"/>
      <c r="AR77" s="317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261"/>
      <c r="BJ77" s="261"/>
      <c r="BK77" s="261"/>
      <c r="BL77" s="261"/>
      <c r="BM77" s="261"/>
      <c r="BN77" s="261"/>
      <c r="BO77" s="261"/>
      <c r="BP77" s="261"/>
      <c r="BQ77" s="261"/>
      <c r="BR77" s="261"/>
      <c r="BS77" s="261"/>
      <c r="BT77" s="261"/>
      <c r="BU77" s="261"/>
      <c r="BV77" s="261"/>
      <c r="BW77" s="261"/>
    </row>
    <row r="78" spans="1:91" ht="21.9" customHeight="1" thickBot="1">
      <c r="A78" s="276"/>
      <c r="B78" s="1470"/>
      <c r="C78" s="1470"/>
      <c r="D78" s="1470"/>
      <c r="E78" s="1470"/>
      <c r="F78" s="1348" t="s">
        <v>407</v>
      </c>
      <c r="G78" s="1349"/>
      <c r="H78" s="1349"/>
      <c r="I78" s="1349"/>
      <c r="J78" s="1350"/>
      <c r="K78" s="274" t="s">
        <v>408</v>
      </c>
      <c r="L78" s="1410" t="str">
        <f>IF(K78="klik &amp; kies aantal ½ stokbroodjes ---&gt;","",SUM(K78*1.4))</f>
        <v/>
      </c>
      <c r="M78" s="1411"/>
      <c r="N78" s="217"/>
      <c r="O78" s="217"/>
      <c r="P78" s="315"/>
      <c r="Q78" s="315"/>
      <c r="R78" s="798"/>
      <c r="S78" s="798"/>
      <c r="T78" s="798"/>
      <c r="U78" s="798"/>
      <c r="V78" s="798"/>
      <c r="W78" s="798"/>
      <c r="X78" s="317"/>
      <c r="Y78" s="315"/>
      <c r="Z78" s="315"/>
      <c r="AA78" s="315"/>
      <c r="AB78" s="317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20"/>
      <c r="AR78" s="317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261"/>
      <c r="BJ78" s="261"/>
      <c r="BK78" s="261"/>
      <c r="BL78" s="261"/>
      <c r="BM78" s="261"/>
      <c r="BN78" s="261"/>
      <c r="BO78" s="261"/>
      <c r="BP78" s="261"/>
      <c r="BQ78" s="261"/>
      <c r="BR78" s="261"/>
      <c r="BS78" s="261"/>
      <c r="BT78" s="261"/>
      <c r="BU78" s="261"/>
      <c r="BV78" s="261"/>
      <c r="BW78" s="261"/>
    </row>
    <row r="79" spans="1:91" ht="21.9" customHeight="1">
      <c r="A79" s="276"/>
      <c r="B79" s="1600" t="s">
        <v>30</v>
      </c>
      <c r="C79" s="1601"/>
      <c r="D79" s="1601"/>
      <c r="E79" s="1602"/>
      <c r="F79" s="1462" t="str">
        <f>T119</f>
        <v>KOOP Suikerriet bord + kunststof metal Look bestek met servet</v>
      </c>
      <c r="G79" s="1463"/>
      <c r="H79" s="1463"/>
      <c r="I79" s="1463"/>
      <c r="J79" s="1464"/>
      <c r="K79" s="392" t="s">
        <v>320</v>
      </c>
      <c r="L79" s="1475" t="str">
        <f>IF(K79="klik &amp; kies aantal sets ---&gt;","",SUM(K79*PRIJZEN!C55))</f>
        <v/>
      </c>
      <c r="M79" s="1476"/>
      <c r="N79" s="315"/>
      <c r="O79" s="315"/>
      <c r="P79" s="315"/>
      <c r="Q79" s="315"/>
      <c r="R79" s="799"/>
      <c r="S79" s="799"/>
      <c r="T79" s="799"/>
      <c r="U79" s="799"/>
      <c r="V79" s="799"/>
      <c r="W79" s="799"/>
      <c r="X79" s="317"/>
      <c r="Y79" s="315"/>
      <c r="Z79" s="315"/>
      <c r="AA79" s="315"/>
      <c r="AB79" s="317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20"/>
      <c r="AR79" s="317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261"/>
      <c r="BJ79" s="261"/>
      <c r="BK79" s="261"/>
      <c r="BL79" s="261"/>
      <c r="BM79" s="261"/>
      <c r="BN79" s="261"/>
      <c r="BO79" s="261"/>
      <c r="BP79" s="261"/>
      <c r="BQ79" s="261"/>
      <c r="BR79" s="261"/>
      <c r="BS79" s="261"/>
      <c r="BT79" s="261"/>
      <c r="BU79" s="261"/>
      <c r="BV79" s="261"/>
      <c r="BW79" s="261"/>
    </row>
    <row r="80" spans="1:91" ht="21.9" customHeight="1">
      <c r="A80" s="276"/>
      <c r="B80" s="1603"/>
      <c r="C80" s="1604"/>
      <c r="D80" s="1604"/>
      <c r="E80" s="1605"/>
      <c r="F80" s="1345" t="str">
        <f t="shared" ref="F80:F81" si="27">T120</f>
        <v>Keram. Bord/ RVS bestek: KLANT haalt op/brengt terug/wast af</v>
      </c>
      <c r="G80" s="1346"/>
      <c r="H80" s="1346"/>
      <c r="I80" s="1346"/>
      <c r="J80" s="1347"/>
      <c r="K80" s="394" t="s">
        <v>320</v>
      </c>
      <c r="L80" s="1609" t="str">
        <f>IF(K80="klik &amp; kies aantal sets ---&gt;","",SUM(K80*PRIJZEN!C56))</f>
        <v/>
      </c>
      <c r="M80" s="1369"/>
      <c r="N80" s="315"/>
      <c r="O80" s="315"/>
      <c r="P80" s="315"/>
      <c r="Q80" s="315"/>
      <c r="R80" s="799"/>
      <c r="S80" s="799"/>
      <c r="T80" s="799"/>
      <c r="U80" s="799"/>
      <c r="V80" s="799"/>
      <c r="W80" s="799"/>
      <c r="X80" s="317"/>
      <c r="Y80" s="315"/>
      <c r="Z80" s="315"/>
      <c r="AA80" s="315"/>
      <c r="AB80" s="317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20"/>
      <c r="AR80" s="317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261"/>
      <c r="BJ80" s="261"/>
      <c r="BK80" s="261"/>
      <c r="BL80" s="261"/>
      <c r="BM80" s="261"/>
      <c r="BN80" s="261"/>
      <c r="BO80" s="261"/>
      <c r="BP80" s="261"/>
      <c r="BQ80" s="261"/>
      <c r="BR80" s="261"/>
      <c r="BS80" s="261"/>
      <c r="BT80" s="261"/>
      <c r="BU80" s="261"/>
      <c r="BV80" s="261"/>
      <c r="BW80" s="261"/>
    </row>
    <row r="81" spans="1:75" ht="21.9" customHeight="1" thickBot="1">
      <c r="A81" s="276"/>
      <c r="B81" s="1606"/>
      <c r="C81" s="1607"/>
      <c r="D81" s="1607"/>
      <c r="E81" s="1608"/>
      <c r="F81" s="1363" t="str">
        <f t="shared" si="27"/>
        <v>Keram. Bord/ RVS bestek: WIJ bezorgen, halen op, wassen af</v>
      </c>
      <c r="G81" s="1364"/>
      <c r="H81" s="1364"/>
      <c r="I81" s="1364"/>
      <c r="J81" s="1365"/>
      <c r="K81" s="379" t="s">
        <v>320</v>
      </c>
      <c r="L81" s="1610" t="str">
        <f>IF(K81="klik &amp; kies aantal sets ---&gt;","",SUM(K81*PRIJZEN!C57))</f>
        <v/>
      </c>
      <c r="M81" s="1411"/>
      <c r="N81" s="387"/>
      <c r="O81" s="387"/>
      <c r="P81" s="388"/>
      <c r="Q81" s="315"/>
      <c r="R81" s="798"/>
      <c r="S81" s="798"/>
      <c r="T81" s="798"/>
      <c r="U81" s="798"/>
      <c r="V81" s="798"/>
      <c r="W81" s="798"/>
      <c r="X81" s="317"/>
      <c r="Y81" s="315"/>
      <c r="Z81" s="315"/>
      <c r="AA81" s="315"/>
      <c r="AB81" s="317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20"/>
      <c r="AR81" s="317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261"/>
      <c r="BJ81" s="261"/>
      <c r="BK81" s="261"/>
      <c r="BL81" s="261"/>
      <c r="BM81" s="261"/>
      <c r="BN81" s="261"/>
      <c r="BO81" s="261"/>
      <c r="BP81" s="261"/>
      <c r="BQ81" s="261"/>
      <c r="BR81" s="261"/>
      <c r="BS81" s="261"/>
      <c r="BT81" s="261"/>
      <c r="BU81" s="261"/>
      <c r="BV81" s="261"/>
      <c r="BW81" s="261"/>
    </row>
    <row r="82" spans="1:75" ht="21.9" customHeight="1" thickBot="1">
      <c r="B82" s="395"/>
      <c r="C82" s="395"/>
      <c r="D82" s="395"/>
      <c r="E82" s="395"/>
      <c r="F82" s="283"/>
      <c r="G82" s="283"/>
      <c r="H82" s="283"/>
      <c r="I82" s="283"/>
      <c r="J82" s="283"/>
      <c r="K82" s="1611" t="str">
        <f>IF(AND(F81&lt;&gt;T119,K81&lt;20),"Keramisch/RVS vanaf 20 personen!","")</f>
        <v/>
      </c>
      <c r="L82" s="1611"/>
      <c r="M82" s="1612"/>
      <c r="N82" s="315"/>
      <c r="O82" s="315"/>
      <c r="P82" s="315"/>
      <c r="Q82" s="315"/>
      <c r="R82" s="799"/>
      <c r="S82" s="799"/>
      <c r="T82" s="799"/>
      <c r="U82" s="799"/>
      <c r="V82" s="799"/>
      <c r="W82" s="799"/>
      <c r="X82" s="317"/>
      <c r="Y82" s="315"/>
      <c r="Z82" s="315"/>
      <c r="AA82" s="315"/>
      <c r="AB82" s="317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20"/>
      <c r="AR82" s="317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261"/>
      <c r="BJ82" s="261"/>
      <c r="BK82" s="261"/>
      <c r="BL82" s="261"/>
      <c r="BM82" s="261"/>
      <c r="BN82" s="261"/>
      <c r="BO82" s="261"/>
      <c r="BP82" s="261"/>
      <c r="BQ82" s="261"/>
      <c r="BR82" s="261"/>
      <c r="BS82" s="261"/>
      <c r="BT82" s="261"/>
      <c r="BU82" s="261"/>
      <c r="BV82" s="261"/>
      <c r="BW82" s="261"/>
    </row>
    <row r="83" spans="1:75" ht="21.9" customHeight="1">
      <c r="A83" s="276"/>
      <c r="B83" s="1588" t="s">
        <v>381</v>
      </c>
      <c r="C83" s="1589"/>
      <c r="D83" s="1589"/>
      <c r="E83" s="1590"/>
      <c r="F83" s="1548" t="s">
        <v>519</v>
      </c>
      <c r="G83" s="1549"/>
      <c r="H83" s="1549"/>
      <c r="I83" s="1549"/>
      <c r="J83" s="1550"/>
      <c r="K83" s="393" t="s">
        <v>319</v>
      </c>
      <c r="L83" s="1613" t="str">
        <f>IF(K83="klik &amp; kies aantal BBQ's ---&gt;","",SUM(K83*PRIJZEN!$O$58))</f>
        <v/>
      </c>
      <c r="M83" s="1614"/>
      <c r="N83" s="387"/>
      <c r="O83" s="387"/>
      <c r="P83" s="388"/>
      <c r="Q83" s="315"/>
      <c r="R83" s="799"/>
      <c r="S83" s="799"/>
      <c r="T83" s="799"/>
      <c r="U83" s="799"/>
      <c r="V83" s="799"/>
      <c r="W83" s="799"/>
      <c r="X83" s="317"/>
      <c r="Y83" s="315"/>
      <c r="Z83" s="315"/>
      <c r="AA83" s="315"/>
      <c r="AB83" s="317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20"/>
      <c r="AR83" s="317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261"/>
      <c r="BJ83" s="261"/>
      <c r="BK83" s="261"/>
      <c r="BL83" s="261"/>
      <c r="BM83" s="261"/>
      <c r="BN83" s="261"/>
      <c r="BO83" s="261"/>
      <c r="BP83" s="261"/>
      <c r="BQ83" s="261"/>
      <c r="BR83" s="261"/>
      <c r="BS83" s="261"/>
      <c r="BT83" s="261"/>
      <c r="BU83" s="261"/>
      <c r="BV83" s="261"/>
      <c r="BW83" s="261"/>
    </row>
    <row r="84" spans="1:75" ht="21.9" customHeight="1" thickBot="1">
      <c r="A84" s="276"/>
      <c r="B84" s="1591"/>
      <c r="C84" s="1592"/>
      <c r="D84" s="1592"/>
      <c r="E84" s="1593"/>
      <c r="F84" s="1594" t="s">
        <v>519</v>
      </c>
      <c r="G84" s="1595"/>
      <c r="H84" s="1595"/>
      <c r="I84" s="1595"/>
      <c r="J84" s="1596"/>
      <c r="K84" s="697" t="s">
        <v>319</v>
      </c>
      <c r="L84" s="1410" t="str">
        <f>IF(K84="klik &amp; kies aantal BBQ's ---&gt;","",SUM(K84*PRIJZEN!$O$59))</f>
        <v/>
      </c>
      <c r="M84" s="1411"/>
      <c r="N84" s="387"/>
      <c r="O84" s="387"/>
      <c r="P84" s="388"/>
      <c r="Q84" s="315"/>
      <c r="R84" s="799"/>
      <c r="S84" s="799"/>
      <c r="T84" s="799"/>
      <c r="U84" s="799"/>
      <c r="V84" s="799"/>
      <c r="W84" s="799"/>
      <c r="X84" s="317"/>
      <c r="Y84" s="315"/>
      <c r="Z84" s="315"/>
      <c r="AA84" s="315"/>
      <c r="AB84" s="317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20"/>
      <c r="AR84" s="317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261"/>
      <c r="BJ84" s="261"/>
      <c r="BK84" s="261"/>
      <c r="BL84" s="261"/>
      <c r="BM84" s="261"/>
      <c r="BN84" s="261"/>
      <c r="BO84" s="261"/>
      <c r="BP84" s="261"/>
      <c r="BQ84" s="261"/>
      <c r="BR84" s="261"/>
      <c r="BS84" s="261"/>
      <c r="BT84" s="261"/>
      <c r="BU84" s="261"/>
      <c r="BV84" s="261"/>
      <c r="BW84" s="261"/>
    </row>
    <row r="85" spans="1:75" ht="21.9" customHeight="1">
      <c r="B85" s="284"/>
      <c r="C85" s="284"/>
      <c r="D85" s="284"/>
      <c r="E85" s="284"/>
      <c r="F85" s="250"/>
      <c r="G85" s="250"/>
      <c r="H85" s="250"/>
      <c r="I85" s="250"/>
      <c r="J85" s="250"/>
      <c r="K85" s="250"/>
      <c r="L85" s="373"/>
      <c r="M85" s="373"/>
      <c r="N85" s="387"/>
      <c r="O85" s="387"/>
      <c r="P85" s="388"/>
      <c r="Q85" s="315"/>
      <c r="R85" s="799"/>
      <c r="S85" s="799"/>
      <c r="T85" s="799"/>
      <c r="U85" s="799"/>
      <c r="V85" s="799"/>
      <c r="W85" s="799"/>
      <c r="X85" s="317"/>
      <c r="Y85" s="315"/>
      <c r="Z85" s="315"/>
      <c r="AA85" s="315"/>
      <c r="AB85" s="317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20"/>
      <c r="AR85" s="317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261"/>
      <c r="BJ85" s="261"/>
      <c r="BK85" s="261"/>
      <c r="BL85" s="261"/>
      <c r="BM85" s="261"/>
      <c r="BN85" s="261"/>
      <c r="BO85" s="261"/>
      <c r="BP85" s="261"/>
      <c r="BQ85" s="261"/>
      <c r="BR85" s="261"/>
      <c r="BS85" s="261"/>
      <c r="BT85" s="261"/>
      <c r="BU85" s="261"/>
      <c r="BV85" s="261"/>
      <c r="BW85" s="261"/>
    </row>
    <row r="86" spans="1:75" ht="40.450000000000003" customHeight="1">
      <c r="B86" s="1413" t="s">
        <v>763</v>
      </c>
      <c r="C86" s="1414"/>
      <c r="D86" s="1414"/>
      <c r="E86" s="1414"/>
      <c r="F86" s="1414"/>
      <c r="G86" s="1414"/>
      <c r="H86" s="1414"/>
      <c r="I86" s="1414"/>
      <c r="J86" s="1414"/>
      <c r="K86" s="1414"/>
      <c r="L86" s="1414"/>
      <c r="M86" s="1415"/>
      <c r="N86" s="387"/>
      <c r="O86" s="387"/>
      <c r="P86" s="388"/>
      <c r="Q86" s="315"/>
      <c r="R86" s="799"/>
      <c r="S86" s="799"/>
      <c r="T86" s="799"/>
      <c r="U86" s="799"/>
      <c r="V86" s="799"/>
      <c r="W86" s="799"/>
      <c r="X86" s="317"/>
      <c r="Y86" s="315"/>
      <c r="Z86" s="315"/>
      <c r="AA86" s="315"/>
      <c r="AB86" s="317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20"/>
      <c r="AR86" s="317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261"/>
      <c r="BJ86" s="261"/>
      <c r="BK86" s="261"/>
      <c r="BL86" s="261"/>
      <c r="BM86" s="261"/>
      <c r="BN86" s="261"/>
      <c r="BO86" s="261"/>
      <c r="BP86" s="261"/>
      <c r="BQ86" s="261"/>
      <c r="BR86" s="261"/>
      <c r="BS86" s="261"/>
      <c r="BT86" s="261"/>
      <c r="BU86" s="261"/>
      <c r="BV86" s="261"/>
      <c r="BW86" s="261"/>
    </row>
    <row r="87" spans="1:75" ht="21.9" customHeight="1">
      <c r="B87" s="1479" t="s">
        <v>871</v>
      </c>
      <c r="C87" s="1479"/>
      <c r="D87" s="1479"/>
      <c r="E87" s="1479"/>
      <c r="F87" s="1479"/>
      <c r="G87" s="1479"/>
      <c r="H87" s="1479"/>
      <c r="I87" s="1479"/>
      <c r="J87" s="1479"/>
      <c r="K87" s="1479"/>
      <c r="L87" s="1479"/>
      <c r="M87" s="1479"/>
      <c r="N87" s="387"/>
      <c r="O87" s="387"/>
      <c r="P87" s="388"/>
      <c r="Q87" s="315"/>
      <c r="R87" s="799"/>
      <c r="S87" s="799"/>
      <c r="T87" s="799"/>
      <c r="U87" s="799"/>
      <c r="V87" s="799"/>
      <c r="W87" s="799"/>
      <c r="X87" s="317"/>
      <c r="Y87" s="315"/>
      <c r="Z87" s="315"/>
      <c r="AA87" s="315"/>
      <c r="AB87" s="317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20"/>
      <c r="AR87" s="317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261"/>
      <c r="BJ87" s="261"/>
      <c r="BK87" s="261"/>
      <c r="BL87" s="261"/>
      <c r="BM87" s="261"/>
      <c r="BN87" s="261"/>
      <c r="BO87" s="261"/>
      <c r="BP87" s="261"/>
      <c r="BQ87" s="261"/>
      <c r="BR87" s="261"/>
      <c r="BS87" s="261"/>
      <c r="BT87" s="261"/>
      <c r="BU87" s="261"/>
      <c r="BV87" s="261"/>
      <c r="BW87" s="261"/>
    </row>
    <row r="88" spans="1:75" ht="21.9" customHeight="1">
      <c r="B88" s="284"/>
      <c r="C88" s="284"/>
      <c r="D88" s="284"/>
      <c r="E88" s="284"/>
      <c r="F88" s="250"/>
      <c r="G88" s="250"/>
      <c r="H88" s="250"/>
      <c r="I88" s="250"/>
      <c r="J88" s="250"/>
      <c r="K88" s="250"/>
      <c r="L88" s="271"/>
      <c r="M88" s="271"/>
      <c r="N88" s="387"/>
      <c r="O88" s="387"/>
      <c r="P88" s="388"/>
      <c r="Q88" s="315"/>
      <c r="R88" s="798"/>
      <c r="S88" s="798"/>
      <c r="T88" s="798"/>
      <c r="U88" s="798"/>
      <c r="V88" s="798"/>
      <c r="W88" s="798"/>
      <c r="X88" s="317"/>
      <c r="Y88" s="315"/>
      <c r="Z88" s="315"/>
      <c r="AA88" s="315"/>
      <c r="AB88" s="317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20"/>
      <c r="AR88" s="317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261"/>
      <c r="BJ88" s="261"/>
      <c r="BK88" s="261"/>
      <c r="BL88" s="261"/>
      <c r="BM88" s="261"/>
      <c r="BN88" s="261"/>
      <c r="BO88" s="261"/>
      <c r="BP88" s="261"/>
      <c r="BQ88" s="261"/>
      <c r="BR88" s="261"/>
      <c r="BS88" s="261"/>
      <c r="BT88" s="261"/>
      <c r="BU88" s="261"/>
      <c r="BV88" s="261"/>
      <c r="BW88" s="261"/>
    </row>
    <row r="89" spans="1:75" ht="40.450000000000003" customHeight="1">
      <c r="B89" s="1413" t="s">
        <v>409</v>
      </c>
      <c r="C89" s="1414"/>
      <c r="D89" s="1414"/>
      <c r="E89" s="1414"/>
      <c r="F89" s="1414"/>
      <c r="G89" s="1414"/>
      <c r="H89" s="1414"/>
      <c r="I89" s="1414"/>
      <c r="J89" s="1414"/>
      <c r="K89" s="1414"/>
      <c r="L89" s="1414"/>
      <c r="M89" s="1415"/>
      <c r="N89" s="387"/>
      <c r="O89" s="387"/>
      <c r="P89" s="388"/>
      <c r="Q89" s="315"/>
      <c r="R89" s="1480"/>
      <c r="S89" s="1480"/>
      <c r="T89" s="1480"/>
      <c r="U89" s="1480"/>
      <c r="V89" s="1480"/>
      <c r="W89" s="1480"/>
      <c r="X89" s="317"/>
      <c r="Y89" s="315"/>
      <c r="Z89" s="315"/>
      <c r="AA89" s="315"/>
      <c r="AB89" s="317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20"/>
      <c r="AR89" s="317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261"/>
      <c r="BJ89" s="261"/>
      <c r="BK89" s="261"/>
      <c r="BL89" s="261"/>
      <c r="BM89" s="261"/>
      <c r="BN89" s="261"/>
      <c r="BO89" s="261"/>
      <c r="BP89" s="261"/>
      <c r="BQ89" s="261"/>
      <c r="BR89" s="261"/>
      <c r="BS89" s="261"/>
      <c r="BT89" s="261"/>
      <c r="BU89" s="261"/>
      <c r="BV89" s="261"/>
      <c r="BW89" s="261"/>
    </row>
    <row r="90" spans="1:75" ht="17.3" customHeight="1">
      <c r="B90" s="285"/>
      <c r="C90" s="286"/>
      <c r="D90" s="286"/>
      <c r="E90" s="286"/>
      <c r="F90" s="1482"/>
      <c r="G90" s="1482"/>
      <c r="H90" s="1482"/>
      <c r="I90" s="1482"/>
      <c r="J90" s="1482"/>
      <c r="K90" s="288" t="s">
        <v>412</v>
      </c>
      <c r="L90" s="287"/>
      <c r="M90" s="287"/>
      <c r="N90" s="387"/>
      <c r="O90" s="387"/>
      <c r="P90" s="388"/>
      <c r="Q90" s="315"/>
      <c r="R90" s="1481"/>
      <c r="S90" s="1481"/>
      <c r="T90" s="1481"/>
      <c r="U90" s="1481"/>
      <c r="V90" s="1481"/>
      <c r="W90" s="1481"/>
      <c r="X90" s="317"/>
      <c r="Y90" s="315"/>
      <c r="Z90" s="315"/>
      <c r="AA90" s="315"/>
      <c r="AB90" s="317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20"/>
      <c r="AR90" s="317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261"/>
      <c r="BJ90" s="261"/>
      <c r="BK90" s="261"/>
      <c r="BL90" s="261"/>
      <c r="BM90" s="261"/>
      <c r="BN90" s="261"/>
      <c r="BO90" s="261"/>
      <c r="BP90" s="261"/>
      <c r="BQ90" s="261"/>
      <c r="BR90" s="261"/>
      <c r="BS90" s="261"/>
      <c r="BT90" s="261"/>
      <c r="BU90" s="261"/>
      <c r="BV90" s="261"/>
      <c r="BW90" s="261"/>
    </row>
    <row r="91" spans="1:75" ht="21.9" customHeight="1">
      <c r="B91" s="1491" t="s">
        <v>410</v>
      </c>
      <c r="C91" s="1492"/>
      <c r="D91" s="1492"/>
      <c r="E91" s="1492"/>
      <c r="F91" s="522">
        <f>PRIJZEN!O56</f>
        <v>18.95</v>
      </c>
      <c r="G91" s="519" t="s">
        <v>650</v>
      </c>
      <c r="H91" s="1582" t="s">
        <v>411</v>
      </c>
      <c r="I91" s="1583"/>
      <c r="J91" s="1584"/>
      <c r="K91" s="289" t="s">
        <v>422</v>
      </c>
      <c r="L91" s="1483" t="str">
        <f>IF($K91="klik &amp; kies va. 6 pers.--&gt;","",SUM($N91))</f>
        <v/>
      </c>
      <c r="M91" s="1484"/>
      <c r="N91" s="217" t="e">
        <f>IF($K91&gt;0,PRIJZEN!O56*$K91,"")</f>
        <v>#VALUE!</v>
      </c>
      <c r="O91" s="387"/>
      <c r="P91" s="388"/>
      <c r="Q91" s="315"/>
      <c r="R91" s="1481"/>
      <c r="S91" s="1481"/>
      <c r="T91" s="1481"/>
      <c r="U91" s="1481"/>
      <c r="V91" s="1481"/>
      <c r="W91" s="1481"/>
      <c r="X91" s="317"/>
      <c r="Y91" s="315"/>
      <c r="Z91" s="315"/>
      <c r="AA91" s="315"/>
      <c r="AB91" s="317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20"/>
      <c r="AR91" s="317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261"/>
      <c r="BJ91" s="261"/>
      <c r="BK91" s="261"/>
      <c r="BL91" s="261"/>
      <c r="BM91" s="261"/>
      <c r="BN91" s="261"/>
      <c r="BO91" s="261"/>
      <c r="BP91" s="261"/>
      <c r="BQ91" s="261"/>
      <c r="BR91" s="261"/>
      <c r="BS91" s="261"/>
      <c r="BT91" s="261"/>
      <c r="BU91" s="261"/>
      <c r="BV91" s="261"/>
      <c r="BW91" s="261"/>
    </row>
    <row r="92" spans="1:75" ht="18" customHeight="1">
      <c r="A92" s="276"/>
      <c r="B92" s="284"/>
      <c r="C92" s="284"/>
      <c r="D92" s="284"/>
      <c r="E92" s="290"/>
      <c r="F92" s="1485" t="s">
        <v>367</v>
      </c>
      <c r="G92" s="1486"/>
      <c r="H92" s="1486"/>
      <c r="I92" s="1486"/>
      <c r="J92" s="1487"/>
      <c r="K92" s="385"/>
      <c r="L92" s="384"/>
      <c r="M92" s="292"/>
      <c r="N92" s="387"/>
      <c r="O92" s="387"/>
      <c r="P92" s="388"/>
      <c r="Q92" s="315"/>
      <c r="R92" s="1480"/>
      <c r="S92" s="1480"/>
      <c r="T92" s="1480"/>
      <c r="U92" s="1480"/>
      <c r="V92" s="1480"/>
      <c r="W92" s="1480"/>
      <c r="X92" s="317"/>
      <c r="Y92" s="315"/>
      <c r="Z92" s="315"/>
      <c r="AA92" s="315"/>
      <c r="AB92" s="317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20"/>
      <c r="AR92" s="317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261"/>
      <c r="BJ92" s="261"/>
      <c r="BK92" s="261"/>
      <c r="BL92" s="261"/>
      <c r="BM92" s="261"/>
      <c r="BN92" s="261"/>
      <c r="BO92" s="261"/>
      <c r="BP92" s="261"/>
      <c r="BQ92" s="261"/>
      <c r="BR92" s="261"/>
      <c r="BS92" s="261"/>
      <c r="BT92" s="261"/>
      <c r="BU92" s="261"/>
      <c r="BV92" s="261"/>
      <c r="BW92" s="261"/>
    </row>
    <row r="93" spans="1:75" ht="18" customHeight="1">
      <c r="A93" s="276"/>
      <c r="B93" s="284"/>
      <c r="C93" s="284"/>
      <c r="D93" s="284"/>
      <c r="E93" s="284"/>
      <c r="F93" s="1493" t="s">
        <v>414</v>
      </c>
      <c r="G93" s="1466"/>
      <c r="H93" s="1466"/>
      <c r="I93" s="1466"/>
      <c r="J93" s="1494"/>
      <c r="K93" s="386"/>
      <c r="L93" s="271"/>
      <c r="M93" s="272"/>
      <c r="N93" s="387"/>
      <c r="O93" s="387"/>
      <c r="P93" s="388"/>
      <c r="Q93" s="315"/>
      <c r="R93" s="799"/>
      <c r="S93" s="799"/>
      <c r="T93" s="799"/>
      <c r="U93" s="799"/>
      <c r="V93" s="799"/>
      <c r="W93" s="799"/>
      <c r="X93" s="317"/>
      <c r="Y93" s="315"/>
      <c r="Z93" s="315"/>
      <c r="AA93" s="315"/>
      <c r="AB93" s="317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20"/>
      <c r="AR93" s="317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261"/>
      <c r="BJ93" s="261"/>
      <c r="BK93" s="261"/>
      <c r="BL93" s="261"/>
      <c r="BM93" s="261"/>
      <c r="BN93" s="261"/>
      <c r="BO93" s="261"/>
      <c r="BP93" s="261"/>
      <c r="BQ93" s="261"/>
      <c r="BR93" s="261"/>
      <c r="BS93" s="261"/>
      <c r="BT93" s="261"/>
      <c r="BU93" s="261"/>
      <c r="BV93" s="261"/>
      <c r="BW93" s="261"/>
    </row>
    <row r="94" spans="1:75" ht="18" customHeight="1">
      <c r="A94" s="276"/>
      <c r="B94" s="284"/>
      <c r="C94" s="284"/>
      <c r="D94" s="284"/>
      <c r="E94" s="284"/>
      <c r="F94" s="1495" t="s">
        <v>415</v>
      </c>
      <c r="G94" s="1465"/>
      <c r="H94" s="1465"/>
      <c r="I94" s="1465"/>
      <c r="J94" s="1496"/>
      <c r="K94" s="250"/>
      <c r="L94" s="271"/>
      <c r="M94" s="272"/>
      <c r="N94" s="387"/>
      <c r="O94" s="387"/>
      <c r="P94" s="388"/>
      <c r="Q94" s="315"/>
      <c r="R94" s="799"/>
      <c r="S94" s="799"/>
      <c r="T94" s="799"/>
      <c r="U94" s="799"/>
      <c r="V94" s="799"/>
      <c r="W94" s="799"/>
      <c r="X94" s="317"/>
      <c r="Y94" s="315"/>
      <c r="Z94" s="315"/>
      <c r="AA94" s="315"/>
      <c r="AB94" s="317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20"/>
      <c r="AR94" s="317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261"/>
      <c r="BJ94" s="261"/>
      <c r="BK94" s="261"/>
      <c r="BL94" s="261"/>
      <c r="BM94" s="261"/>
      <c r="BN94" s="261"/>
      <c r="BO94" s="261"/>
      <c r="BP94" s="261"/>
      <c r="BQ94" s="261"/>
      <c r="BR94" s="261"/>
      <c r="BS94" s="261"/>
      <c r="BT94" s="261"/>
      <c r="BU94" s="261"/>
      <c r="BV94" s="261"/>
      <c r="BW94" s="261"/>
    </row>
    <row r="95" spans="1:75" ht="18" customHeight="1">
      <c r="A95" s="276"/>
      <c r="B95" s="284"/>
      <c r="C95" s="284"/>
      <c r="D95" s="284"/>
      <c r="E95" s="284"/>
      <c r="F95" s="1493" t="s">
        <v>413</v>
      </c>
      <c r="G95" s="1466"/>
      <c r="H95" s="1466"/>
      <c r="I95" s="1466"/>
      <c r="J95" s="1494"/>
      <c r="K95" s="250"/>
      <c r="L95" s="271"/>
      <c r="M95" s="272"/>
      <c r="N95" s="387"/>
      <c r="O95" s="387"/>
      <c r="P95" s="388"/>
      <c r="Q95" s="315"/>
      <c r="R95" s="799"/>
      <c r="S95" s="799"/>
      <c r="T95" s="799"/>
      <c r="U95" s="799"/>
      <c r="V95" s="799"/>
      <c r="W95" s="799"/>
      <c r="X95" s="317"/>
      <c r="Y95" s="315"/>
      <c r="Z95" s="315"/>
      <c r="AA95" s="315"/>
      <c r="AB95" s="317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20"/>
      <c r="AR95" s="317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261"/>
      <c r="BJ95" s="261"/>
      <c r="BK95" s="261"/>
      <c r="BL95" s="261"/>
      <c r="BM95" s="261"/>
      <c r="BN95" s="261"/>
      <c r="BO95" s="261"/>
      <c r="BP95" s="261"/>
      <c r="BQ95" s="261"/>
      <c r="BR95" s="261"/>
      <c r="BS95" s="261"/>
      <c r="BT95" s="261"/>
      <c r="BU95" s="261"/>
      <c r="BV95" s="261"/>
      <c r="BW95" s="261"/>
    </row>
    <row r="96" spans="1:75" ht="18" customHeight="1">
      <c r="A96" s="276"/>
      <c r="B96" s="284"/>
      <c r="C96" s="284"/>
      <c r="D96" s="284"/>
      <c r="E96" s="284"/>
      <c r="F96" s="1495" t="s">
        <v>418</v>
      </c>
      <c r="G96" s="1465"/>
      <c r="H96" s="1465"/>
      <c r="I96" s="1465"/>
      <c r="J96" s="1496"/>
      <c r="K96" s="250"/>
      <c r="L96" s="271"/>
      <c r="M96" s="272"/>
      <c r="N96" s="387"/>
      <c r="O96" s="387"/>
      <c r="P96" s="388"/>
      <c r="Q96" s="315"/>
      <c r="R96" s="799"/>
      <c r="S96" s="799"/>
      <c r="T96" s="799"/>
      <c r="U96" s="799"/>
      <c r="V96" s="799"/>
      <c r="W96" s="799"/>
      <c r="X96" s="317"/>
      <c r="Y96" s="315"/>
      <c r="Z96" s="315"/>
      <c r="AA96" s="315"/>
      <c r="AB96" s="317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20"/>
      <c r="AR96" s="317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261"/>
      <c r="BJ96" s="261"/>
      <c r="BK96" s="261"/>
      <c r="BL96" s="261"/>
      <c r="BM96" s="261"/>
      <c r="BN96" s="261"/>
      <c r="BO96" s="261"/>
      <c r="BP96" s="261"/>
      <c r="BQ96" s="261"/>
      <c r="BR96" s="261"/>
      <c r="BS96" s="261"/>
      <c r="BT96" s="261"/>
      <c r="BU96" s="261"/>
      <c r="BV96" s="261"/>
      <c r="BW96" s="261"/>
    </row>
    <row r="97" spans="1:75" ht="18" customHeight="1">
      <c r="A97" s="276"/>
      <c r="B97" s="284"/>
      <c r="C97" s="284"/>
      <c r="D97" s="284"/>
      <c r="E97" s="284"/>
      <c r="F97" s="1493" t="s">
        <v>417</v>
      </c>
      <c r="G97" s="1466"/>
      <c r="H97" s="1466"/>
      <c r="I97" s="1466"/>
      <c r="J97" s="1494"/>
      <c r="K97" s="250"/>
      <c r="L97" s="271"/>
      <c r="M97" s="272"/>
      <c r="N97" s="387"/>
      <c r="O97" s="387"/>
      <c r="P97" s="388"/>
      <c r="Q97" s="315"/>
      <c r="R97" s="799"/>
      <c r="S97" s="799"/>
      <c r="T97" s="799"/>
      <c r="U97" s="799"/>
      <c r="V97" s="799"/>
      <c r="W97" s="799"/>
      <c r="X97" s="317"/>
      <c r="Y97" s="315"/>
      <c r="Z97" s="315"/>
      <c r="AA97" s="315"/>
      <c r="AB97" s="317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20"/>
      <c r="AR97" s="317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261"/>
      <c r="BJ97" s="261"/>
      <c r="BK97" s="261"/>
      <c r="BL97" s="261"/>
      <c r="BM97" s="261"/>
      <c r="BN97" s="261"/>
      <c r="BO97" s="261"/>
      <c r="BP97" s="261"/>
      <c r="BQ97" s="261"/>
      <c r="BR97" s="261"/>
      <c r="BS97" s="261"/>
      <c r="BT97" s="261"/>
      <c r="BU97" s="261"/>
      <c r="BV97" s="261"/>
      <c r="BW97" s="261"/>
    </row>
    <row r="98" spans="1:75" ht="18" customHeight="1">
      <c r="A98" s="276"/>
      <c r="B98" s="284"/>
      <c r="C98" s="284"/>
      <c r="D98" s="284"/>
      <c r="E98" s="284"/>
      <c r="F98" s="1493" t="s">
        <v>416</v>
      </c>
      <c r="G98" s="1466"/>
      <c r="H98" s="1466"/>
      <c r="I98" s="1466"/>
      <c r="J98" s="1494"/>
      <c r="K98" s="250"/>
      <c r="L98" s="271"/>
      <c r="M98" s="272"/>
      <c r="N98" s="387"/>
      <c r="O98" s="387"/>
      <c r="P98" s="388"/>
      <c r="Q98" s="315"/>
      <c r="R98" s="799"/>
      <c r="S98" s="799"/>
      <c r="T98" s="799"/>
      <c r="U98" s="799"/>
      <c r="V98" s="799"/>
      <c r="W98" s="799"/>
      <c r="X98" s="317"/>
      <c r="Y98" s="315"/>
      <c r="Z98" s="315"/>
      <c r="AA98" s="315"/>
      <c r="AB98" s="317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20"/>
      <c r="AR98" s="317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261"/>
      <c r="BJ98" s="261"/>
      <c r="BK98" s="261"/>
      <c r="BL98" s="261"/>
      <c r="BM98" s="261"/>
      <c r="BN98" s="261"/>
      <c r="BO98" s="261"/>
      <c r="BP98" s="261"/>
      <c r="BQ98" s="261"/>
      <c r="BR98" s="261"/>
      <c r="BS98" s="261"/>
      <c r="BT98" s="261"/>
      <c r="BU98" s="261"/>
      <c r="BV98" s="261"/>
      <c r="BW98" s="261"/>
    </row>
    <row r="99" spans="1:75" ht="18" customHeight="1">
      <c r="A99" s="276"/>
      <c r="B99" s="284"/>
      <c r="C99" s="284"/>
      <c r="D99" s="284"/>
      <c r="E99" s="284"/>
      <c r="F99" s="1495" t="s">
        <v>419</v>
      </c>
      <c r="G99" s="1465"/>
      <c r="H99" s="1465"/>
      <c r="I99" s="1465"/>
      <c r="J99" s="1496"/>
      <c r="K99" s="250"/>
      <c r="L99" s="271"/>
      <c r="M99" s="272"/>
      <c r="N99" s="387"/>
      <c r="O99" s="387"/>
      <c r="P99" s="388"/>
      <c r="Q99" s="315"/>
      <c r="R99" s="799"/>
      <c r="S99" s="799"/>
      <c r="T99" s="799"/>
      <c r="U99" s="799"/>
      <c r="V99" s="799"/>
      <c r="W99" s="799"/>
      <c r="X99" s="317"/>
      <c r="Y99" s="315"/>
      <c r="Z99" s="315"/>
      <c r="AA99" s="315"/>
      <c r="AB99" s="317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20"/>
      <c r="AR99" s="317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261"/>
      <c r="BJ99" s="261"/>
      <c r="BK99" s="261"/>
      <c r="BL99" s="261"/>
      <c r="BM99" s="261"/>
      <c r="BN99" s="261"/>
      <c r="BO99" s="261"/>
      <c r="BP99" s="261"/>
      <c r="BQ99" s="261"/>
      <c r="BR99" s="261"/>
      <c r="BS99" s="261"/>
      <c r="BT99" s="261"/>
      <c r="BU99" s="261"/>
      <c r="BV99" s="261"/>
      <c r="BW99" s="261"/>
    </row>
    <row r="100" spans="1:75" ht="18" customHeight="1">
      <c r="A100" s="276"/>
      <c r="B100" s="284"/>
      <c r="C100" s="284"/>
      <c r="D100" s="284"/>
      <c r="E100" s="284"/>
      <c r="F100" s="1493" t="s">
        <v>420</v>
      </c>
      <c r="G100" s="1466"/>
      <c r="H100" s="1466"/>
      <c r="I100" s="1466"/>
      <c r="J100" s="1494"/>
      <c r="K100" s="250"/>
      <c r="L100" s="271"/>
      <c r="M100" s="272"/>
      <c r="N100" s="387"/>
      <c r="O100" s="387"/>
      <c r="P100" s="388"/>
      <c r="Q100" s="315"/>
      <c r="R100" s="799"/>
      <c r="S100" s="799"/>
      <c r="T100" s="799"/>
      <c r="U100" s="799"/>
      <c r="V100" s="799"/>
      <c r="W100" s="799"/>
      <c r="X100" s="317"/>
      <c r="Y100" s="315"/>
      <c r="Z100" s="315"/>
      <c r="AA100" s="315"/>
      <c r="AB100" s="317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20"/>
      <c r="AR100" s="317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261"/>
      <c r="BJ100" s="261"/>
      <c r="BK100" s="261"/>
      <c r="BL100" s="261"/>
      <c r="BM100" s="261"/>
      <c r="BN100" s="261"/>
      <c r="BO100" s="261"/>
      <c r="BP100" s="261"/>
      <c r="BQ100" s="261"/>
      <c r="BR100" s="261"/>
      <c r="BS100" s="261"/>
      <c r="BT100" s="261"/>
      <c r="BU100" s="261"/>
      <c r="BV100" s="261"/>
      <c r="BW100" s="261"/>
    </row>
    <row r="101" spans="1:75" ht="18" customHeight="1">
      <c r="A101" s="276"/>
      <c r="B101" s="284"/>
      <c r="C101" s="284"/>
      <c r="D101" s="284"/>
      <c r="E101" s="284"/>
      <c r="F101" s="1495" t="s">
        <v>396</v>
      </c>
      <c r="G101" s="1465"/>
      <c r="H101" s="1465"/>
      <c r="I101" s="1465"/>
      <c r="J101" s="1496"/>
      <c r="K101" s="250"/>
      <c r="L101" s="271"/>
      <c r="M101" s="272"/>
      <c r="N101" s="387"/>
      <c r="O101" s="387"/>
      <c r="P101" s="388"/>
      <c r="Q101" s="315"/>
      <c r="R101" s="799"/>
      <c r="S101" s="799"/>
      <c r="T101" s="799"/>
      <c r="U101" s="799"/>
      <c r="V101" s="799"/>
      <c r="W101" s="799"/>
      <c r="X101" s="317"/>
      <c r="Y101" s="315"/>
      <c r="Z101" s="315"/>
      <c r="AA101" s="315"/>
      <c r="AB101" s="317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20"/>
      <c r="AR101" s="317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261"/>
      <c r="BJ101" s="261"/>
      <c r="BK101" s="261"/>
      <c r="BL101" s="261"/>
      <c r="BM101" s="261"/>
      <c r="BN101" s="261"/>
      <c r="BO101" s="261"/>
      <c r="BP101" s="261"/>
      <c r="BQ101" s="261"/>
      <c r="BR101" s="261"/>
      <c r="BS101" s="261"/>
      <c r="BT101" s="261"/>
      <c r="BU101" s="261"/>
      <c r="BV101" s="261"/>
      <c r="BW101" s="261"/>
    </row>
    <row r="102" spans="1:75" ht="18" customHeight="1">
      <c r="A102" s="276"/>
      <c r="B102" s="284"/>
      <c r="C102" s="284"/>
      <c r="D102" s="284"/>
      <c r="E102" s="284"/>
      <c r="F102" s="1497" t="s">
        <v>421</v>
      </c>
      <c r="G102" s="1498"/>
      <c r="H102" s="1498"/>
      <c r="I102" s="1498"/>
      <c r="J102" s="1499"/>
      <c r="K102" s="250"/>
      <c r="L102" s="271"/>
      <c r="M102" s="272"/>
      <c r="N102" s="387"/>
      <c r="O102" s="387"/>
      <c r="P102" s="388"/>
      <c r="Q102" s="315"/>
      <c r="R102" s="799"/>
      <c r="S102" s="799"/>
      <c r="T102" s="799"/>
      <c r="U102" s="799"/>
      <c r="V102" s="799"/>
      <c r="W102" s="799"/>
      <c r="X102" s="317"/>
      <c r="Y102" s="315"/>
      <c r="Z102" s="315"/>
      <c r="AA102" s="315"/>
      <c r="AB102" s="317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20"/>
      <c r="AR102" s="317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261"/>
      <c r="BJ102" s="261"/>
      <c r="BK102" s="261"/>
      <c r="BL102" s="261"/>
      <c r="BM102" s="261"/>
      <c r="BN102" s="261"/>
      <c r="BO102" s="261"/>
      <c r="BP102" s="261"/>
      <c r="BQ102" s="261"/>
      <c r="BR102" s="261"/>
      <c r="BS102" s="261"/>
      <c r="BT102" s="261"/>
      <c r="BU102" s="261"/>
      <c r="BV102" s="261"/>
      <c r="BW102" s="261"/>
    </row>
    <row r="103" spans="1:75" ht="18" customHeight="1">
      <c r="A103" s="276"/>
      <c r="B103" s="284"/>
      <c r="C103" s="284"/>
      <c r="D103" s="284"/>
      <c r="E103" s="284"/>
      <c r="F103" s="291"/>
      <c r="G103" s="291"/>
      <c r="H103" s="291"/>
      <c r="I103" s="291"/>
      <c r="J103" s="291"/>
      <c r="K103" s="288" t="s">
        <v>412</v>
      </c>
      <c r="L103" s="271"/>
      <c r="M103" s="272"/>
      <c r="N103" s="387"/>
      <c r="O103" s="387"/>
      <c r="P103" s="388"/>
      <c r="Q103" s="315"/>
      <c r="R103" s="799"/>
      <c r="S103" s="799"/>
      <c r="T103" s="799"/>
      <c r="U103" s="799"/>
      <c r="V103" s="799"/>
      <c r="W103" s="799"/>
      <c r="X103" s="317"/>
      <c r="Y103" s="315"/>
      <c r="Z103" s="315"/>
      <c r="AA103" s="315"/>
      <c r="AB103" s="317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20"/>
      <c r="AR103" s="317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261"/>
      <c r="BJ103" s="261"/>
      <c r="BK103" s="261"/>
      <c r="BL103" s="261"/>
      <c r="BM103" s="261"/>
      <c r="BN103" s="261"/>
      <c r="BO103" s="261"/>
      <c r="BP103" s="261"/>
      <c r="BQ103" s="261"/>
      <c r="BR103" s="261"/>
      <c r="BS103" s="261"/>
      <c r="BT103" s="261"/>
      <c r="BU103" s="261"/>
      <c r="BV103" s="261"/>
      <c r="BW103" s="261"/>
    </row>
    <row r="104" spans="1:75" ht="21.9" customHeight="1">
      <c r="A104" s="276"/>
      <c r="B104" s="1543" t="s">
        <v>423</v>
      </c>
      <c r="C104" s="1544"/>
      <c r="D104" s="1544"/>
      <c r="E104" s="1545"/>
      <c r="F104" s="521">
        <f>PRIJZEN!O55</f>
        <v>8.9499999999999993</v>
      </c>
      <c r="G104" s="520" t="s">
        <v>650</v>
      </c>
      <c r="H104" s="1585" t="s">
        <v>651</v>
      </c>
      <c r="I104" s="1586"/>
      <c r="J104" s="1587"/>
      <c r="K104" s="289" t="s">
        <v>424</v>
      </c>
      <c r="L104" s="1546" t="str">
        <f>IF($K104="klik &amp; kies va. 4 pers.--&gt;","",SUM(N104))</f>
        <v/>
      </c>
      <c r="M104" s="1547"/>
      <c r="N104" s="217" t="e">
        <f>IF($K104&gt;0,PRIJZEN!O55*$K104,0)</f>
        <v>#VALUE!</v>
      </c>
      <c r="O104" s="387"/>
      <c r="P104" s="388"/>
      <c r="Q104" s="315"/>
      <c r="R104" s="799"/>
      <c r="S104" s="799"/>
      <c r="T104" s="799"/>
      <c r="U104" s="799"/>
      <c r="V104" s="799"/>
      <c r="W104" s="799"/>
      <c r="X104" s="317"/>
      <c r="Y104" s="315"/>
      <c r="Z104" s="315"/>
      <c r="AA104" s="315"/>
      <c r="AB104" s="317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20"/>
      <c r="AR104" s="317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261"/>
      <c r="BJ104" s="261"/>
      <c r="BK104" s="261"/>
      <c r="BL104" s="261"/>
      <c r="BM104" s="261"/>
      <c r="BN104" s="261"/>
      <c r="BO104" s="261"/>
      <c r="BP104" s="261"/>
      <c r="BQ104" s="261"/>
      <c r="BR104" s="261"/>
      <c r="BS104" s="261"/>
      <c r="BT104" s="261"/>
      <c r="BU104" s="261"/>
      <c r="BV104" s="261"/>
      <c r="BW104" s="261"/>
    </row>
    <row r="105" spans="1:75" ht="21.9" customHeight="1">
      <c r="A105" s="276"/>
      <c r="B105" s="187"/>
      <c r="C105" s="187"/>
      <c r="D105" s="187"/>
      <c r="E105" s="381"/>
      <c r="F105" s="1500" t="s">
        <v>526</v>
      </c>
      <c r="G105" s="1501"/>
      <c r="H105" s="1501"/>
      <c r="I105" s="1501"/>
      <c r="J105" s="1502"/>
      <c r="K105" s="382"/>
      <c r="L105" s="373"/>
      <c r="M105" s="380"/>
      <c r="N105" s="217"/>
      <c r="O105" s="387"/>
      <c r="P105" s="388"/>
      <c r="Q105" s="315"/>
      <c r="R105" s="799"/>
      <c r="S105" s="799"/>
      <c r="T105" s="799"/>
      <c r="U105" s="799"/>
      <c r="V105" s="799"/>
      <c r="W105" s="799"/>
      <c r="X105" s="317"/>
      <c r="Y105" s="315"/>
      <c r="Z105" s="315"/>
      <c r="AA105" s="315"/>
      <c r="AB105" s="317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20"/>
      <c r="AR105" s="317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261"/>
      <c r="BJ105" s="261"/>
      <c r="BK105" s="261"/>
      <c r="BL105" s="261"/>
      <c r="BM105" s="261"/>
      <c r="BN105" s="261"/>
      <c r="BO105" s="261"/>
      <c r="BP105" s="261"/>
      <c r="BQ105" s="261"/>
      <c r="BR105" s="261"/>
      <c r="BS105" s="261"/>
      <c r="BT105" s="261"/>
      <c r="BU105" s="261"/>
      <c r="BV105" s="261"/>
      <c r="BW105" s="261"/>
    </row>
    <row r="106" spans="1:75" ht="21.9" customHeight="1">
      <c r="A106" s="276"/>
      <c r="B106" s="187"/>
      <c r="C106" s="187"/>
      <c r="D106" s="187"/>
      <c r="E106" s="187"/>
      <c r="F106" s="1506" t="s">
        <v>525</v>
      </c>
      <c r="G106" s="1507"/>
      <c r="H106" s="1507"/>
      <c r="I106" s="1507"/>
      <c r="J106" s="1508"/>
      <c r="K106" s="391"/>
      <c r="L106" s="373"/>
      <c r="M106" s="372"/>
      <c r="N106" s="217"/>
      <c r="O106" s="387"/>
      <c r="P106" s="388"/>
      <c r="Q106" s="315"/>
      <c r="R106" s="799"/>
      <c r="S106" s="799"/>
      <c r="T106" s="799"/>
      <c r="U106" s="799"/>
      <c r="V106" s="799"/>
      <c r="W106" s="799"/>
      <c r="X106" s="317"/>
      <c r="Y106" s="315"/>
      <c r="Z106" s="315"/>
      <c r="AA106" s="315"/>
      <c r="AB106" s="317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20"/>
      <c r="AR106" s="317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261"/>
      <c r="BJ106" s="261"/>
      <c r="BK106" s="261"/>
      <c r="BL106" s="261"/>
      <c r="BM106" s="261"/>
      <c r="BN106" s="261"/>
      <c r="BO106" s="261"/>
      <c r="BP106" s="261"/>
      <c r="BQ106" s="261"/>
      <c r="BR106" s="261"/>
      <c r="BS106" s="261"/>
      <c r="BT106" s="261"/>
      <c r="BU106" s="261"/>
      <c r="BV106" s="261"/>
      <c r="BW106" s="261"/>
    </row>
    <row r="107" spans="1:75" ht="21.9" customHeight="1">
      <c r="A107" s="276"/>
      <c r="B107" s="1503" t="s">
        <v>652</v>
      </c>
      <c r="C107" s="1504"/>
      <c r="D107" s="1504"/>
      <c r="E107" s="1504"/>
      <c r="F107" s="1504"/>
      <c r="G107" s="1504"/>
      <c r="H107" s="1504"/>
      <c r="I107" s="1504"/>
      <c r="J107" s="1504"/>
      <c r="K107" s="1504"/>
      <c r="L107" s="1504"/>
      <c r="M107" s="1505"/>
      <c r="N107" s="217"/>
      <c r="O107" s="387"/>
      <c r="P107" s="388"/>
      <c r="Q107" s="315"/>
      <c r="R107" s="799"/>
      <c r="S107" s="799"/>
      <c r="T107" s="799"/>
      <c r="U107" s="799"/>
      <c r="V107" s="799"/>
      <c r="W107" s="799"/>
      <c r="X107" s="317"/>
      <c r="Y107" s="315"/>
      <c r="Z107" s="315"/>
      <c r="AA107" s="315"/>
      <c r="AB107" s="317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20"/>
      <c r="AR107" s="317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261"/>
      <c r="BJ107" s="261"/>
      <c r="BK107" s="261"/>
      <c r="BL107" s="261"/>
      <c r="BM107" s="261"/>
      <c r="BN107" s="261"/>
      <c r="BO107" s="261"/>
      <c r="BP107" s="261"/>
      <c r="BQ107" s="261"/>
      <c r="BR107" s="261"/>
      <c r="BS107" s="261"/>
      <c r="BT107" s="261"/>
      <c r="BU107" s="261"/>
      <c r="BV107" s="261"/>
      <c r="BW107" s="261"/>
    </row>
    <row r="108" spans="1:75" ht="21.9" customHeight="1">
      <c r="A108" s="276"/>
      <c r="B108" s="1503" t="s">
        <v>653</v>
      </c>
      <c r="C108" s="1504"/>
      <c r="D108" s="1504"/>
      <c r="E108" s="1504"/>
      <c r="F108" s="1504"/>
      <c r="G108" s="1504"/>
      <c r="H108" s="1504"/>
      <c r="I108" s="1504"/>
      <c r="J108" s="1504"/>
      <c r="K108" s="1504"/>
      <c r="L108" s="1504"/>
      <c r="M108" s="1505"/>
      <c r="N108" s="217"/>
      <c r="O108" s="387"/>
      <c r="P108" s="388"/>
      <c r="Q108" s="315"/>
      <c r="R108" s="799"/>
      <c r="S108" s="799"/>
      <c r="T108" s="799"/>
      <c r="U108" s="799"/>
      <c r="V108" s="799"/>
      <c r="W108" s="799"/>
      <c r="X108" s="317"/>
      <c r="Y108" s="315"/>
      <c r="Z108" s="315"/>
      <c r="AA108" s="315"/>
      <c r="AB108" s="317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20"/>
      <c r="AR108" s="317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261"/>
      <c r="BJ108" s="261"/>
      <c r="BK108" s="261"/>
      <c r="BL108" s="261"/>
      <c r="BM108" s="261"/>
      <c r="BN108" s="261"/>
      <c r="BO108" s="261"/>
      <c r="BP108" s="261"/>
      <c r="BQ108" s="261"/>
      <c r="BR108" s="261"/>
      <c r="BS108" s="261"/>
      <c r="BT108" s="261"/>
      <c r="BU108" s="261"/>
      <c r="BV108" s="261"/>
      <c r="BW108" s="261"/>
    </row>
    <row r="109" spans="1:75" ht="18" customHeight="1" thickBot="1">
      <c r="A109" s="276"/>
      <c r="B109" s="284"/>
      <c r="C109" s="284"/>
      <c r="D109" s="284"/>
      <c r="E109" s="284"/>
      <c r="F109" s="1465"/>
      <c r="G109" s="1465"/>
      <c r="H109" s="1465"/>
      <c r="I109" s="1465"/>
      <c r="J109" s="1465"/>
      <c r="K109" s="383"/>
      <c r="L109" s="1541"/>
      <c r="M109" s="1352"/>
      <c r="N109" s="387"/>
      <c r="O109" s="387"/>
      <c r="P109" s="388"/>
      <c r="Q109" s="315"/>
      <c r="R109" s="1481"/>
      <c r="S109" s="1481"/>
      <c r="T109" s="1481"/>
      <c r="U109" s="1481"/>
      <c r="V109" s="1481"/>
      <c r="W109" s="1481"/>
      <c r="X109" s="317"/>
      <c r="Y109" s="315"/>
      <c r="Z109" s="315"/>
      <c r="AA109" s="315"/>
      <c r="AB109" s="317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20"/>
      <c r="AR109" s="317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261"/>
      <c r="BJ109" s="261"/>
      <c r="BK109" s="261"/>
      <c r="BL109" s="261"/>
      <c r="BM109" s="261"/>
      <c r="BN109" s="261"/>
      <c r="BO109" s="261"/>
      <c r="BP109" s="261"/>
      <c r="BQ109" s="261"/>
      <c r="BR109" s="261"/>
      <c r="BS109" s="261"/>
      <c r="BT109" s="261"/>
      <c r="BU109" s="261"/>
      <c r="BV109" s="261"/>
      <c r="BW109" s="261"/>
    </row>
    <row r="110" spans="1:75" ht="18" customHeight="1">
      <c r="A110" s="276"/>
      <c r="B110" s="1472" t="s">
        <v>427</v>
      </c>
      <c r="C110" s="1473"/>
      <c r="D110" s="1473"/>
      <c r="E110" s="1473"/>
      <c r="F110" s="1473"/>
      <c r="G110" s="1473"/>
      <c r="H110" s="1473"/>
      <c r="I110" s="1473"/>
      <c r="J110" s="1474"/>
      <c r="K110" s="314" t="s">
        <v>308</v>
      </c>
      <c r="L110" s="1539">
        <f>SUM(L91:M106)+SUM(L37:M84)+SUM(L3:M35)</f>
        <v>0</v>
      </c>
      <c r="M110" s="1540"/>
      <c r="N110" s="387"/>
      <c r="O110" s="387"/>
      <c r="P110" s="388"/>
      <c r="Q110" s="315"/>
      <c r="R110" s="798"/>
      <c r="S110" s="798"/>
      <c r="T110" s="798"/>
      <c r="U110" s="798"/>
      <c r="V110" s="798"/>
      <c r="W110" s="798"/>
      <c r="X110" s="317"/>
      <c r="Y110" s="315"/>
      <c r="Z110" s="315"/>
      <c r="AA110" s="315"/>
      <c r="AB110" s="317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20"/>
      <c r="AR110" s="317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261"/>
      <c r="BJ110" s="261"/>
      <c r="BK110" s="261"/>
      <c r="BL110" s="261"/>
      <c r="BM110" s="261"/>
      <c r="BN110" s="261"/>
      <c r="BO110" s="261"/>
      <c r="BP110" s="261"/>
      <c r="BQ110" s="261"/>
      <c r="BR110" s="261"/>
      <c r="BS110" s="261"/>
      <c r="BT110" s="261"/>
      <c r="BU110" s="261"/>
      <c r="BV110" s="261"/>
      <c r="BW110" s="261"/>
    </row>
    <row r="111" spans="1:75" ht="18" customHeight="1">
      <c r="A111" s="276"/>
      <c r="B111" s="1526"/>
      <c r="C111" s="1527"/>
      <c r="D111" s="1527"/>
      <c r="E111" s="1527"/>
      <c r="F111" s="1527"/>
      <c r="G111" s="1527"/>
      <c r="H111" s="1527"/>
      <c r="I111" s="1527"/>
      <c r="J111" s="1528"/>
      <c r="K111" s="313" t="s">
        <v>311</v>
      </c>
      <c r="L111" s="1090">
        <v>0</v>
      </c>
      <c r="M111" s="1542"/>
      <c r="N111" s="387"/>
      <c r="O111" s="387"/>
      <c r="P111" s="388"/>
      <c r="Q111" s="315"/>
      <c r="R111" s="798"/>
      <c r="S111" s="798"/>
      <c r="T111" s="798"/>
      <c r="U111" s="798"/>
      <c r="V111" s="798"/>
      <c r="W111" s="798"/>
      <c r="X111" s="317"/>
      <c r="Y111" s="315"/>
      <c r="Z111" s="315"/>
      <c r="AA111" s="315"/>
      <c r="AB111" s="317"/>
      <c r="AC111" s="315"/>
      <c r="AD111" s="315"/>
      <c r="AE111" s="315"/>
      <c r="AF111" s="315"/>
      <c r="AG111" s="315"/>
      <c r="AH111" s="315"/>
      <c r="AI111" s="315"/>
      <c r="AJ111" s="315"/>
      <c r="AK111" s="315"/>
      <c r="AL111" s="315"/>
      <c r="AM111" s="315"/>
      <c r="AN111" s="315"/>
      <c r="AO111" s="315"/>
      <c r="AP111" s="315"/>
      <c r="AQ111" s="320"/>
      <c r="AR111" s="317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261"/>
      <c r="BJ111" s="261"/>
      <c r="BK111" s="261"/>
      <c r="BL111" s="261"/>
      <c r="BM111" s="261"/>
      <c r="BN111" s="261"/>
      <c r="BO111" s="261"/>
      <c r="BP111" s="261"/>
      <c r="BQ111" s="261"/>
      <c r="BR111" s="261"/>
      <c r="BS111" s="261"/>
      <c r="BT111" s="261"/>
      <c r="BU111" s="261"/>
      <c r="BV111" s="261"/>
      <c r="BW111" s="261"/>
    </row>
    <row r="112" spans="1:75" ht="18" customHeight="1">
      <c r="A112" s="276"/>
      <c r="B112" s="1526"/>
      <c r="C112" s="1527"/>
      <c r="D112" s="1527"/>
      <c r="E112" s="1527"/>
      <c r="F112" s="1527"/>
      <c r="G112" s="1527"/>
      <c r="H112" s="1527"/>
      <c r="I112" s="1527"/>
      <c r="J112" s="1528"/>
      <c r="K112" s="297" t="s">
        <v>309</v>
      </c>
      <c r="L112" s="1090">
        <f>SUM(L110-L113)</f>
        <v>0</v>
      </c>
      <c r="M112" s="1091"/>
      <c r="N112" s="387"/>
      <c r="O112" s="387"/>
      <c r="P112" s="388"/>
      <c r="Q112" s="315"/>
      <c r="R112" s="798"/>
      <c r="S112" s="798"/>
      <c r="T112" s="798"/>
      <c r="U112" s="798"/>
      <c r="V112" s="798"/>
      <c r="W112" s="798"/>
      <c r="X112" s="317"/>
      <c r="Y112" s="315"/>
      <c r="Z112" s="315"/>
      <c r="AA112" s="315"/>
      <c r="AB112" s="317"/>
      <c r="AC112" s="315"/>
      <c r="AD112" s="315"/>
      <c r="AE112" s="315"/>
      <c r="AF112" s="315"/>
      <c r="AG112" s="315"/>
      <c r="AH112" s="315"/>
      <c r="AI112" s="315"/>
      <c r="AJ112" s="315"/>
      <c r="AK112" s="315"/>
      <c r="AL112" s="315"/>
      <c r="AM112" s="315"/>
      <c r="AN112" s="315"/>
      <c r="AO112" s="315"/>
      <c r="AP112" s="315"/>
      <c r="AQ112" s="320"/>
      <c r="AR112" s="317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261"/>
      <c r="BJ112" s="261"/>
      <c r="BK112" s="261"/>
      <c r="BL112" s="261"/>
      <c r="BM112" s="261"/>
      <c r="BN112" s="261"/>
      <c r="BO112" s="261"/>
      <c r="BP112" s="261"/>
      <c r="BQ112" s="261"/>
      <c r="BR112" s="261"/>
      <c r="BS112" s="261"/>
      <c r="BT112" s="261"/>
      <c r="BU112" s="261"/>
      <c r="BV112" s="261"/>
      <c r="BW112" s="261"/>
    </row>
    <row r="113" spans="1:75" ht="18" customHeight="1" thickBot="1">
      <c r="A113" s="276"/>
      <c r="B113" s="1529"/>
      <c r="C113" s="1530"/>
      <c r="D113" s="1530"/>
      <c r="E113" s="1530"/>
      <c r="F113" s="1530"/>
      <c r="G113" s="1530"/>
      <c r="H113" s="1530"/>
      <c r="I113" s="1530"/>
      <c r="J113" s="1531"/>
      <c r="K113" s="297" t="s">
        <v>310</v>
      </c>
      <c r="L113" s="1090">
        <f>SUM(L83:M84)+SUM(L79:M81)</f>
        <v>0</v>
      </c>
      <c r="M113" s="1091"/>
      <c r="N113" s="387"/>
      <c r="O113" s="387"/>
      <c r="P113" s="388"/>
      <c r="Q113" s="315"/>
      <c r="R113" s="798"/>
      <c r="S113" s="798"/>
      <c r="T113" s="798"/>
      <c r="U113" s="798"/>
      <c r="V113" s="798"/>
      <c r="W113" s="798"/>
      <c r="X113" s="317"/>
      <c r="Y113" s="315"/>
      <c r="Z113" s="315"/>
      <c r="AA113" s="315"/>
      <c r="AB113" s="317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20"/>
      <c r="AR113" s="317"/>
      <c r="AS113" s="319"/>
      <c r="AT113" s="319"/>
      <c r="AU113" s="319"/>
      <c r="AV113" s="319"/>
      <c r="AW113" s="319"/>
      <c r="AX113" s="319"/>
      <c r="AY113" s="319"/>
      <c r="AZ113" s="319"/>
      <c r="BA113" s="319"/>
      <c r="BB113" s="319"/>
      <c r="BC113" s="319"/>
      <c r="BD113" s="319"/>
      <c r="BE113" s="319"/>
      <c r="BF113" s="319"/>
      <c r="BG113" s="319"/>
      <c r="BH113" s="319"/>
      <c r="BI113" s="261"/>
      <c r="BJ113" s="261"/>
      <c r="BK113" s="261"/>
      <c r="BL113" s="261"/>
      <c r="BM113" s="261"/>
      <c r="BN113" s="261"/>
      <c r="BO113" s="261"/>
      <c r="BP113" s="261"/>
      <c r="BQ113" s="261"/>
      <c r="BR113" s="261"/>
      <c r="BS113" s="261"/>
      <c r="BT113" s="261"/>
      <c r="BU113" s="261"/>
      <c r="BV113" s="261"/>
      <c r="BW113" s="261"/>
    </row>
    <row r="114" spans="1:75" ht="18" customHeight="1">
      <c r="A114" s="276"/>
      <c r="B114" s="1526"/>
      <c r="C114" s="1527"/>
      <c r="D114" s="1527"/>
      <c r="E114" s="1527"/>
      <c r="F114" s="1527"/>
      <c r="G114" s="1527"/>
      <c r="H114" s="1527"/>
      <c r="I114" s="1527"/>
      <c r="J114" s="1532"/>
      <c r="K114" s="1533" t="s">
        <v>315</v>
      </c>
      <c r="L114" s="1535">
        <f>SUM(L111:M113)</f>
        <v>0</v>
      </c>
      <c r="M114" s="1125"/>
      <c r="N114" s="387"/>
      <c r="O114" s="387"/>
      <c r="P114" s="388"/>
      <c r="Q114" s="315"/>
      <c r="R114" s="798"/>
      <c r="S114" s="798"/>
      <c r="T114" s="798"/>
      <c r="U114" s="798"/>
      <c r="V114" s="798"/>
      <c r="W114" s="798"/>
      <c r="X114" s="317"/>
      <c r="Y114" s="315"/>
      <c r="Z114" s="315"/>
      <c r="AA114" s="315"/>
      <c r="AB114" s="317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20"/>
      <c r="AR114" s="317"/>
      <c r="AS114" s="319"/>
      <c r="AT114" s="319"/>
      <c r="AU114" s="319"/>
      <c r="AV114" s="319"/>
      <c r="AW114" s="319"/>
      <c r="AX114" s="319"/>
      <c r="AY114" s="319"/>
      <c r="AZ114" s="319"/>
      <c r="BA114" s="319"/>
      <c r="BB114" s="319"/>
      <c r="BC114" s="319"/>
      <c r="BD114" s="319"/>
      <c r="BE114" s="319"/>
      <c r="BF114" s="319"/>
      <c r="BG114" s="319"/>
      <c r="BH114" s="319"/>
      <c r="BI114" s="261"/>
      <c r="BJ114" s="261"/>
      <c r="BK114" s="261"/>
      <c r="BL114" s="261"/>
      <c r="BM114" s="261"/>
      <c r="BN114" s="261"/>
      <c r="BO114" s="261"/>
      <c r="BP114" s="261"/>
      <c r="BQ114" s="261"/>
      <c r="BR114" s="261"/>
      <c r="BS114" s="261"/>
      <c r="BT114" s="261"/>
      <c r="BU114" s="261"/>
      <c r="BV114" s="261"/>
      <c r="BW114" s="261"/>
    </row>
    <row r="115" spans="1:75" ht="18" customHeight="1" thickBot="1">
      <c r="A115" s="276"/>
      <c r="B115" s="1537"/>
      <c r="C115" s="1538"/>
      <c r="D115" s="1538"/>
      <c r="E115" s="1538"/>
      <c r="F115" s="1538"/>
      <c r="G115" s="1538"/>
      <c r="H115" s="1538"/>
      <c r="I115" s="1538"/>
      <c r="J115" s="1538"/>
      <c r="K115" s="1534"/>
      <c r="L115" s="1536"/>
      <c r="M115" s="1127"/>
      <c r="N115" s="387"/>
      <c r="O115" s="387"/>
      <c r="P115" s="388"/>
      <c r="Q115" s="315"/>
      <c r="R115" s="798"/>
      <c r="S115" s="798"/>
      <c r="T115" s="798"/>
      <c r="U115" s="798"/>
      <c r="V115" s="798"/>
      <c r="W115" s="798"/>
      <c r="X115" s="317"/>
      <c r="Y115" s="315"/>
      <c r="Z115" s="315"/>
      <c r="AA115" s="315"/>
      <c r="AB115" s="317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20"/>
      <c r="AR115" s="317"/>
      <c r="AS115" s="319"/>
      <c r="AT115" s="319"/>
      <c r="AU115" s="319"/>
      <c r="AV115" s="319"/>
      <c r="AW115" s="319"/>
      <c r="AX115" s="319"/>
      <c r="AY115" s="319"/>
      <c r="AZ115" s="319"/>
      <c r="BA115" s="319"/>
      <c r="BB115" s="319"/>
      <c r="BC115" s="319"/>
      <c r="BD115" s="319"/>
      <c r="BE115" s="319"/>
      <c r="BF115" s="319"/>
      <c r="BG115" s="319"/>
      <c r="BH115" s="319"/>
      <c r="BI115" s="261"/>
      <c r="BJ115" s="261"/>
      <c r="BK115" s="261"/>
      <c r="BL115" s="261"/>
      <c r="BM115" s="261"/>
      <c r="BN115" s="261"/>
      <c r="BO115" s="261"/>
      <c r="BP115" s="261"/>
      <c r="BQ115" s="261"/>
      <c r="BR115" s="261"/>
      <c r="BS115" s="261"/>
      <c r="BT115" s="261"/>
      <c r="BU115" s="261"/>
      <c r="BV115" s="261"/>
      <c r="BW115" s="261"/>
    </row>
    <row r="116" spans="1:75" ht="18" customHeight="1">
      <c r="B116" s="277"/>
      <c r="C116" s="277"/>
      <c r="D116" s="277"/>
      <c r="E116" s="277"/>
      <c r="F116" s="1466"/>
      <c r="G116" s="1466"/>
      <c r="H116" s="1466"/>
      <c r="I116" s="1466"/>
      <c r="J116" s="1466"/>
      <c r="K116" s="278"/>
      <c r="L116" s="230"/>
      <c r="M116" s="230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7"/>
      <c r="Y116" s="315"/>
      <c r="Z116" s="315"/>
      <c r="AA116" s="315"/>
      <c r="AB116" s="317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20"/>
      <c r="AR116" s="317"/>
      <c r="AS116" s="319"/>
      <c r="AT116" s="319"/>
      <c r="AU116" s="319"/>
      <c r="AV116" s="319"/>
      <c r="AW116" s="319"/>
      <c r="AX116" s="319"/>
      <c r="AY116" s="319"/>
      <c r="AZ116" s="319"/>
      <c r="BA116" s="319"/>
      <c r="BB116" s="319"/>
      <c r="BC116" s="319"/>
      <c r="BD116" s="319"/>
      <c r="BE116" s="319"/>
      <c r="BF116" s="319"/>
      <c r="BG116" s="319"/>
      <c r="BH116" s="319"/>
      <c r="BI116" s="261"/>
      <c r="BJ116" s="261"/>
      <c r="BK116" s="261"/>
      <c r="BL116" s="261"/>
      <c r="BM116" s="261"/>
      <c r="BN116" s="261"/>
      <c r="BO116" s="261"/>
      <c r="BP116" s="261"/>
      <c r="BQ116" s="261"/>
      <c r="BR116" s="261"/>
      <c r="BS116" s="261"/>
      <c r="BT116" s="261"/>
      <c r="BU116" s="261"/>
      <c r="BV116" s="261"/>
      <c r="BW116" s="261"/>
    </row>
    <row r="117" spans="1:75" ht="15.05" customHeight="1">
      <c r="B117" s="277"/>
      <c r="C117" s="277"/>
      <c r="D117" s="277"/>
      <c r="E117" s="277"/>
      <c r="F117" s="1465"/>
      <c r="G117" s="1465"/>
      <c r="H117" s="1465"/>
      <c r="I117" s="1465"/>
      <c r="J117" s="1465"/>
      <c r="K117" s="278"/>
      <c r="L117" s="230"/>
      <c r="M117" s="230"/>
      <c r="N117" s="315"/>
      <c r="O117" s="315"/>
      <c r="P117" s="595" t="s">
        <v>382</v>
      </c>
      <c r="Q117" s="595" t="s">
        <v>383</v>
      </c>
      <c r="R117" s="315"/>
      <c r="S117" s="595" t="s">
        <v>384</v>
      </c>
      <c r="T117" s="595" t="s">
        <v>390</v>
      </c>
      <c r="U117" s="595" t="s">
        <v>316</v>
      </c>
      <c r="V117" s="595"/>
      <c r="W117" s="596" t="s">
        <v>317</v>
      </c>
      <c r="X117" s="315" t="s">
        <v>318</v>
      </c>
      <c r="Y117" s="596" t="s">
        <v>319</v>
      </c>
      <c r="Z117" s="315"/>
      <c r="AA117" s="316"/>
      <c r="AB117" s="316"/>
      <c r="AC117" s="315"/>
      <c r="AD117" s="322" t="s">
        <v>523</v>
      </c>
      <c r="AE117" s="315"/>
      <c r="AF117" s="315"/>
      <c r="AG117" s="322" t="s">
        <v>408</v>
      </c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20"/>
      <c r="AR117" s="317"/>
      <c r="AS117" s="319"/>
      <c r="AT117" s="319"/>
      <c r="AU117" s="319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19"/>
      <c r="BI117" s="261"/>
      <c r="BJ117" s="261"/>
      <c r="BK117" s="261"/>
      <c r="BL117" s="261"/>
      <c r="BM117" s="261"/>
      <c r="BN117" s="261"/>
      <c r="BO117" s="261"/>
      <c r="BP117" s="261"/>
      <c r="BQ117" s="261"/>
      <c r="BR117" s="261"/>
      <c r="BS117" s="261"/>
      <c r="BT117" s="261"/>
      <c r="BU117" s="261"/>
      <c r="BV117" s="261"/>
      <c r="BW117" s="261"/>
    </row>
    <row r="118" spans="1:75" ht="15.05" customHeight="1">
      <c r="B118" s="277"/>
      <c r="C118" s="277"/>
      <c r="D118" s="277"/>
      <c r="E118" s="277"/>
      <c r="F118" s="1466"/>
      <c r="G118" s="1466"/>
      <c r="H118" s="1466"/>
      <c r="I118" s="1466"/>
      <c r="J118" s="1466"/>
      <c r="K118" s="278"/>
      <c r="L118" s="230"/>
      <c r="M118" s="230"/>
      <c r="N118" s="315"/>
      <c r="O118" s="315"/>
      <c r="P118" s="315"/>
      <c r="Q118" s="315"/>
      <c r="R118" s="315"/>
      <c r="S118" s="315"/>
      <c r="T118" s="315"/>
      <c r="U118" s="315"/>
      <c r="V118" s="315"/>
      <c r="W118" s="317">
        <v>6</v>
      </c>
      <c r="X118" s="315" t="s">
        <v>321</v>
      </c>
      <c r="Y118" s="317">
        <v>1</v>
      </c>
      <c r="Z118" s="315"/>
      <c r="AA118" s="597"/>
      <c r="AB118" s="597"/>
      <c r="AC118" s="315"/>
      <c r="AD118" s="206"/>
      <c r="AE118" s="315"/>
      <c r="AF118" s="315"/>
      <c r="AG118" s="6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20"/>
      <c r="AR118" s="317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19"/>
      <c r="BE118" s="319"/>
      <c r="BF118" s="319"/>
      <c r="BG118" s="319"/>
      <c r="BH118" s="319"/>
      <c r="BI118" s="261"/>
      <c r="BJ118" s="261"/>
      <c r="BK118" s="261"/>
      <c r="BL118" s="261"/>
      <c r="BM118" s="261"/>
      <c r="BN118" s="261"/>
      <c r="BO118" s="261"/>
      <c r="BP118" s="261"/>
      <c r="BQ118" s="261"/>
      <c r="BR118" s="261"/>
      <c r="BS118" s="261"/>
      <c r="BT118" s="261"/>
      <c r="BU118" s="261"/>
      <c r="BV118" s="261"/>
      <c r="BW118" s="261"/>
    </row>
    <row r="119" spans="1:75" ht="15.05" customHeight="1">
      <c r="B119" s="277"/>
      <c r="C119" s="277"/>
      <c r="D119" s="277"/>
      <c r="E119" s="277"/>
      <c r="F119" s="1466"/>
      <c r="G119" s="1466"/>
      <c r="H119" s="1466"/>
      <c r="I119" s="1466"/>
      <c r="J119" s="1466"/>
      <c r="K119" s="278"/>
      <c r="L119" s="230"/>
      <c r="M119" s="230"/>
      <c r="N119" s="315"/>
      <c r="O119" s="315"/>
      <c r="P119" s="315" t="s">
        <v>322</v>
      </c>
      <c r="Q119" s="315" t="s">
        <v>323</v>
      </c>
      <c r="R119" s="315"/>
      <c r="S119" s="315" t="s">
        <v>323</v>
      </c>
      <c r="T119" s="315" t="s">
        <v>530</v>
      </c>
      <c r="U119" s="315" t="s">
        <v>324</v>
      </c>
      <c r="V119" s="315"/>
      <c r="W119" s="317">
        <f>SUM(W118+1)</f>
        <v>7</v>
      </c>
      <c r="X119" s="315" t="s">
        <v>325</v>
      </c>
      <c r="Y119" s="317">
        <v>2</v>
      </c>
      <c r="Z119" s="315"/>
      <c r="AA119" s="316" t="s">
        <v>320</v>
      </c>
      <c r="AB119" s="316" t="s">
        <v>320</v>
      </c>
      <c r="AC119" s="315"/>
      <c r="AD119" s="206">
        <v>4</v>
      </c>
      <c r="AE119" s="315"/>
      <c r="AF119" s="315"/>
      <c r="AG119" s="206">
        <v>1</v>
      </c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20"/>
      <c r="AR119" s="317"/>
      <c r="AS119" s="319"/>
      <c r="AT119" s="319"/>
      <c r="AU119" s="319"/>
      <c r="AV119" s="319"/>
      <c r="AW119" s="319"/>
      <c r="AX119" s="319"/>
      <c r="AY119" s="319"/>
      <c r="AZ119" s="319"/>
      <c r="BA119" s="319"/>
      <c r="BB119" s="319"/>
      <c r="BC119" s="319"/>
      <c r="BD119" s="319"/>
      <c r="BE119" s="319"/>
      <c r="BF119" s="319"/>
      <c r="BG119" s="319"/>
      <c r="BH119" s="319"/>
      <c r="BI119" s="261"/>
      <c r="BJ119" s="261"/>
      <c r="BK119" s="261"/>
      <c r="BL119" s="261"/>
      <c r="BM119" s="261"/>
      <c r="BN119" s="261"/>
      <c r="BO119" s="261"/>
      <c r="BP119" s="261"/>
      <c r="BQ119" s="261"/>
      <c r="BR119" s="261"/>
      <c r="BS119" s="261"/>
      <c r="BT119" s="261"/>
      <c r="BU119" s="261"/>
      <c r="BV119" s="261"/>
      <c r="BW119" s="261"/>
    </row>
    <row r="120" spans="1:75" ht="15.05" customHeight="1">
      <c r="B120" s="277"/>
      <c r="C120" s="277"/>
      <c r="D120" s="277"/>
      <c r="E120" s="277"/>
      <c r="F120" s="1465"/>
      <c r="G120" s="1465"/>
      <c r="H120" s="1465"/>
      <c r="I120" s="1465"/>
      <c r="J120" s="1465"/>
      <c r="K120" s="278"/>
      <c r="L120" s="230"/>
      <c r="M120" s="230"/>
      <c r="N120" s="315"/>
      <c r="O120" s="315"/>
      <c r="P120" s="315" t="s">
        <v>321</v>
      </c>
      <c r="Q120" s="315" t="s">
        <v>321</v>
      </c>
      <c r="R120" s="315"/>
      <c r="S120" s="315" t="s">
        <v>321</v>
      </c>
      <c r="T120" s="315" t="s">
        <v>529</v>
      </c>
      <c r="U120" s="315" t="s">
        <v>326</v>
      </c>
      <c r="V120" s="315"/>
      <c r="W120" s="317">
        <f>SUM(W119+1)</f>
        <v>8</v>
      </c>
      <c r="X120" s="315" t="s">
        <v>327</v>
      </c>
      <c r="Y120" s="317">
        <v>3</v>
      </c>
      <c r="Z120" s="315"/>
      <c r="AA120" s="597" t="s">
        <v>629</v>
      </c>
      <c r="AB120" s="597" t="s">
        <v>630</v>
      </c>
      <c r="AC120" s="315"/>
      <c r="AD120" s="206">
        <f>SUM(AD119+1)</f>
        <v>5</v>
      </c>
      <c r="AE120" s="315"/>
      <c r="AF120" s="315"/>
      <c r="AG120" s="206">
        <f>SUM(AG119+1)</f>
        <v>2</v>
      </c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20"/>
      <c r="AR120" s="317"/>
      <c r="AS120" s="319"/>
      <c r="AT120" s="319"/>
      <c r="AU120" s="319"/>
      <c r="AV120" s="319"/>
      <c r="AW120" s="319"/>
      <c r="AX120" s="319"/>
      <c r="AY120" s="319"/>
      <c r="AZ120" s="319"/>
      <c r="BA120" s="319"/>
      <c r="BB120" s="319"/>
      <c r="BC120" s="319"/>
      <c r="BD120" s="319"/>
      <c r="BE120" s="319"/>
      <c r="BF120" s="319"/>
      <c r="BG120" s="319"/>
      <c r="BH120" s="319"/>
      <c r="BI120" s="261"/>
      <c r="BJ120" s="261"/>
      <c r="BK120" s="261"/>
      <c r="BL120" s="261"/>
      <c r="BM120" s="261"/>
      <c r="BN120" s="261"/>
      <c r="BO120" s="261"/>
      <c r="BP120" s="261"/>
      <c r="BQ120" s="261"/>
      <c r="BR120" s="261"/>
      <c r="BS120" s="261"/>
      <c r="BT120" s="261"/>
      <c r="BU120" s="261"/>
      <c r="BV120" s="261"/>
      <c r="BW120" s="261"/>
    </row>
    <row r="121" spans="1:75" ht="15.05" customHeight="1">
      <c r="B121" s="277"/>
      <c r="C121" s="277"/>
      <c r="D121" s="277"/>
      <c r="E121" s="277"/>
      <c r="F121" s="1466"/>
      <c r="G121" s="1466"/>
      <c r="H121" s="1466"/>
      <c r="I121" s="1466"/>
      <c r="J121" s="1466"/>
      <c r="K121" s="278"/>
      <c r="L121" s="230"/>
      <c r="M121" s="230"/>
      <c r="N121" s="315"/>
      <c r="O121" s="315"/>
      <c r="P121" s="315" t="s">
        <v>330</v>
      </c>
      <c r="Q121" s="315" t="s">
        <v>322</v>
      </c>
      <c r="R121" s="315"/>
      <c r="S121" s="315" t="s">
        <v>322</v>
      </c>
      <c r="T121" s="315" t="s">
        <v>531</v>
      </c>
      <c r="U121" s="315" t="s">
        <v>328</v>
      </c>
      <c r="V121" s="315"/>
      <c r="W121" s="317">
        <f t="shared" ref="W121:W184" si="28">SUM(W120+1)</f>
        <v>9</v>
      </c>
      <c r="X121" s="315" t="s">
        <v>329</v>
      </c>
      <c r="Y121" s="317"/>
      <c r="Z121" s="315"/>
      <c r="AA121" s="597"/>
      <c r="AB121" s="597"/>
      <c r="AC121" s="315"/>
      <c r="AD121" s="206">
        <f t="shared" ref="AD121:AD184" si="29">SUM(AD120+1)</f>
        <v>6</v>
      </c>
      <c r="AE121" s="315"/>
      <c r="AF121" s="315"/>
      <c r="AG121" s="206">
        <f t="shared" ref="AG121:AG168" si="30">SUM(AG120+1)</f>
        <v>3</v>
      </c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20"/>
      <c r="AR121" s="317"/>
      <c r="AS121" s="319"/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19"/>
      <c r="BF121" s="319"/>
      <c r="BG121" s="319"/>
      <c r="BH121" s="319"/>
      <c r="BI121" s="261"/>
      <c r="BJ121" s="261"/>
      <c r="BK121" s="261"/>
      <c r="BL121" s="261"/>
      <c r="BM121" s="261"/>
      <c r="BN121" s="261"/>
      <c r="BO121" s="261"/>
      <c r="BP121" s="261"/>
      <c r="BQ121" s="261"/>
      <c r="BR121" s="261"/>
      <c r="BS121" s="261"/>
      <c r="BT121" s="261"/>
      <c r="BU121" s="261"/>
      <c r="BV121" s="261"/>
      <c r="BW121" s="261"/>
    </row>
    <row r="122" spans="1:75" ht="15.05" customHeight="1">
      <c r="B122" s="277"/>
      <c r="C122" s="277"/>
      <c r="D122" s="277"/>
      <c r="E122" s="277"/>
      <c r="F122" s="1465"/>
      <c r="G122" s="1465"/>
      <c r="H122" s="1465"/>
      <c r="I122" s="1465"/>
      <c r="J122" s="1465"/>
      <c r="K122" s="278"/>
      <c r="L122" s="230"/>
      <c r="M122" s="230"/>
      <c r="N122" s="315"/>
      <c r="O122" s="315"/>
      <c r="P122" s="315" t="s">
        <v>334</v>
      </c>
      <c r="Q122" s="315" t="s">
        <v>330</v>
      </c>
      <c r="R122" s="315"/>
      <c r="S122" s="315" t="s">
        <v>330</v>
      </c>
      <c r="T122" s="315"/>
      <c r="U122" s="315"/>
      <c r="V122" s="315"/>
      <c r="W122" s="317">
        <f t="shared" si="28"/>
        <v>10</v>
      </c>
      <c r="X122" s="315" t="s">
        <v>331</v>
      </c>
      <c r="Y122" s="317"/>
      <c r="Z122" s="315"/>
      <c r="AA122" s="597">
        <v>6</v>
      </c>
      <c r="AB122" s="597">
        <v>20</v>
      </c>
      <c r="AC122" s="315"/>
      <c r="AD122" s="206">
        <f t="shared" si="29"/>
        <v>7</v>
      </c>
      <c r="AE122" s="315"/>
      <c r="AF122" s="315"/>
      <c r="AG122" s="206">
        <f t="shared" si="30"/>
        <v>4</v>
      </c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20"/>
      <c r="AR122" s="317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261"/>
      <c r="BJ122" s="261"/>
      <c r="BK122" s="261"/>
      <c r="BL122" s="261"/>
      <c r="BM122" s="261"/>
      <c r="BN122" s="261"/>
      <c r="BO122" s="261"/>
      <c r="BP122" s="261"/>
      <c r="BQ122" s="261"/>
      <c r="BR122" s="261"/>
      <c r="BS122" s="261"/>
      <c r="BT122" s="261"/>
      <c r="BU122" s="261"/>
      <c r="BV122" s="261"/>
      <c r="BW122" s="261"/>
    </row>
    <row r="123" spans="1:75" ht="15.05" customHeight="1">
      <c r="B123" s="1467"/>
      <c r="C123" s="1467"/>
      <c r="D123" s="1467"/>
      <c r="E123" s="1467"/>
      <c r="F123" s="1465"/>
      <c r="G123" s="1465"/>
      <c r="H123" s="1465"/>
      <c r="I123" s="1465"/>
      <c r="J123" s="1465"/>
      <c r="K123" s="230"/>
      <c r="L123" s="230"/>
      <c r="M123" s="230"/>
      <c r="N123" s="315"/>
      <c r="O123" s="315"/>
      <c r="P123" s="315" t="s">
        <v>642</v>
      </c>
      <c r="Q123" s="315" t="s">
        <v>332</v>
      </c>
      <c r="R123" s="315"/>
      <c r="S123" s="315" t="s">
        <v>334</v>
      </c>
      <c r="T123" s="315"/>
      <c r="U123" s="315"/>
      <c r="V123" s="315"/>
      <c r="W123" s="317">
        <f t="shared" si="28"/>
        <v>11</v>
      </c>
      <c r="X123" s="315" t="s">
        <v>333</v>
      </c>
      <c r="Y123" s="317"/>
      <c r="Z123" s="315"/>
      <c r="AA123" s="597">
        <f t="shared" ref="AA123:AB150" si="31">SUM(AA122+1)</f>
        <v>7</v>
      </c>
      <c r="AB123" s="597">
        <f t="shared" si="31"/>
        <v>21</v>
      </c>
      <c r="AC123" s="315"/>
      <c r="AD123" s="206">
        <f t="shared" si="29"/>
        <v>8</v>
      </c>
      <c r="AE123" s="315"/>
      <c r="AF123" s="315"/>
      <c r="AG123" s="206">
        <f t="shared" si="30"/>
        <v>5</v>
      </c>
      <c r="AH123" s="315"/>
      <c r="AI123" s="315"/>
      <c r="AJ123" s="315"/>
      <c r="AK123" s="315"/>
      <c r="AL123" s="315"/>
      <c r="AM123" s="315"/>
      <c r="AN123" s="315"/>
      <c r="AO123" s="315"/>
      <c r="AP123" s="315"/>
      <c r="AQ123" s="320"/>
      <c r="AR123" s="317"/>
      <c r="AS123" s="319"/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19"/>
      <c r="BF123" s="319"/>
      <c r="BG123" s="319"/>
      <c r="BH123" s="319"/>
      <c r="BI123" s="261"/>
      <c r="BJ123" s="261"/>
      <c r="BK123" s="261"/>
      <c r="BL123" s="261"/>
      <c r="BM123" s="261"/>
      <c r="BN123" s="261"/>
      <c r="BO123" s="261"/>
      <c r="BP123" s="261"/>
      <c r="BQ123" s="261"/>
      <c r="BR123" s="261"/>
      <c r="BS123" s="261"/>
      <c r="BT123" s="261"/>
      <c r="BU123" s="261"/>
      <c r="BV123" s="261"/>
      <c r="BW123" s="261"/>
    </row>
    <row r="124" spans="1:75" ht="15.05" customHeight="1">
      <c r="B124" s="1467"/>
      <c r="C124" s="1467"/>
      <c r="D124" s="1467"/>
      <c r="E124" s="1467"/>
      <c r="F124" s="1471"/>
      <c r="G124" s="1471"/>
      <c r="H124" s="1471"/>
      <c r="I124" s="1471"/>
      <c r="J124" s="1471"/>
      <c r="K124" s="230"/>
      <c r="L124" s="230"/>
      <c r="M124" s="230"/>
      <c r="N124" s="315"/>
      <c r="O124" s="315"/>
      <c r="P124" s="315" t="s">
        <v>338</v>
      </c>
      <c r="Q124" s="315" t="s">
        <v>642</v>
      </c>
      <c r="R124" s="315"/>
      <c r="S124" s="315" t="s">
        <v>642</v>
      </c>
      <c r="T124" s="315"/>
      <c r="U124" s="315"/>
      <c r="V124" s="315"/>
      <c r="W124" s="317">
        <f t="shared" si="28"/>
        <v>12</v>
      </c>
      <c r="X124" s="315" t="s">
        <v>335</v>
      </c>
      <c r="Y124" s="317"/>
      <c r="Z124" s="315"/>
      <c r="AA124" s="597">
        <f t="shared" si="31"/>
        <v>8</v>
      </c>
      <c r="AB124" s="597">
        <f t="shared" si="31"/>
        <v>22</v>
      </c>
      <c r="AC124" s="315"/>
      <c r="AD124" s="206">
        <f t="shared" si="29"/>
        <v>9</v>
      </c>
      <c r="AE124" s="315"/>
      <c r="AF124" s="315"/>
      <c r="AG124" s="206">
        <f t="shared" si="30"/>
        <v>6</v>
      </c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20"/>
      <c r="AR124" s="317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19"/>
      <c r="BG124" s="319"/>
      <c r="BH124" s="319"/>
      <c r="BI124" s="261"/>
      <c r="BJ124" s="261"/>
      <c r="BK124" s="261"/>
      <c r="BL124" s="261"/>
      <c r="BM124" s="261"/>
      <c r="BN124" s="261"/>
      <c r="BO124" s="261"/>
      <c r="BP124" s="261"/>
      <c r="BQ124" s="261"/>
      <c r="BR124" s="261"/>
      <c r="BS124" s="261"/>
      <c r="BT124" s="261"/>
      <c r="BU124" s="261"/>
      <c r="BV124" s="261"/>
      <c r="BW124" s="261"/>
    </row>
    <row r="125" spans="1:75" ht="15.05" customHeight="1">
      <c r="B125" s="1467"/>
      <c r="C125" s="1467"/>
      <c r="D125" s="1467"/>
      <c r="E125" s="1467"/>
      <c r="F125" s="1471"/>
      <c r="G125" s="1471"/>
      <c r="H125" s="1471"/>
      <c r="I125" s="1471"/>
      <c r="J125" s="1471"/>
      <c r="K125" s="230"/>
      <c r="L125" s="230"/>
      <c r="M125" s="230"/>
      <c r="N125" s="315"/>
      <c r="O125" s="315"/>
      <c r="P125" s="315" t="s">
        <v>640</v>
      </c>
      <c r="Q125" s="315" t="s">
        <v>336</v>
      </c>
      <c r="R125" s="315"/>
      <c r="S125" s="315" t="s">
        <v>336</v>
      </c>
      <c r="T125" s="595" t="s">
        <v>519</v>
      </c>
      <c r="U125" s="315"/>
      <c r="V125" s="315"/>
      <c r="W125" s="317">
        <f t="shared" si="28"/>
        <v>13</v>
      </c>
      <c r="X125" s="315" t="s">
        <v>337</v>
      </c>
      <c r="Y125" s="317"/>
      <c r="Z125" s="315"/>
      <c r="AA125" s="597">
        <f t="shared" si="31"/>
        <v>9</v>
      </c>
      <c r="AB125" s="597">
        <f t="shared" si="31"/>
        <v>23</v>
      </c>
      <c r="AC125" s="315"/>
      <c r="AD125" s="206">
        <f t="shared" si="29"/>
        <v>10</v>
      </c>
      <c r="AE125" s="315"/>
      <c r="AF125" s="315"/>
      <c r="AG125" s="206">
        <f t="shared" si="30"/>
        <v>7</v>
      </c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20"/>
      <c r="AR125" s="317"/>
      <c r="AS125" s="319"/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19"/>
      <c r="BF125" s="319"/>
      <c r="BG125" s="319"/>
      <c r="BH125" s="319"/>
      <c r="BI125" s="261"/>
      <c r="BJ125" s="261"/>
      <c r="BK125" s="261"/>
      <c r="BL125" s="261"/>
      <c r="BM125" s="261"/>
      <c r="BN125" s="261"/>
      <c r="BO125" s="261"/>
      <c r="BP125" s="261"/>
      <c r="BQ125" s="261"/>
      <c r="BR125" s="261"/>
      <c r="BS125" s="261"/>
      <c r="BT125" s="261"/>
      <c r="BU125" s="261"/>
      <c r="BV125" s="261"/>
      <c r="BW125" s="261"/>
    </row>
    <row r="126" spans="1:75" ht="15.05" customHeight="1">
      <c r="B126" s="1467"/>
      <c r="C126" s="1467"/>
      <c r="D126" s="1467"/>
      <c r="E126" s="1467"/>
      <c r="F126" s="1471"/>
      <c r="G126" s="1471"/>
      <c r="H126" s="1471"/>
      <c r="I126" s="1471"/>
      <c r="J126" s="1471"/>
      <c r="K126" s="230"/>
      <c r="L126" s="230"/>
      <c r="M126" s="230"/>
      <c r="N126" s="315"/>
      <c r="O126" s="315"/>
      <c r="P126" s="315" t="s">
        <v>344</v>
      </c>
      <c r="Q126" s="315" t="s">
        <v>641</v>
      </c>
      <c r="R126" s="315"/>
      <c r="S126" s="315" t="s">
        <v>348</v>
      </c>
      <c r="T126" s="315"/>
      <c r="U126" s="315"/>
      <c r="V126" s="315"/>
      <c r="W126" s="317">
        <f t="shared" si="28"/>
        <v>14</v>
      </c>
      <c r="X126" s="315" t="s">
        <v>339</v>
      </c>
      <c r="Y126" s="317"/>
      <c r="Z126" s="315"/>
      <c r="AA126" s="597">
        <f t="shared" si="31"/>
        <v>10</v>
      </c>
      <c r="AB126" s="597">
        <f t="shared" si="31"/>
        <v>24</v>
      </c>
      <c r="AC126" s="315"/>
      <c r="AD126" s="206">
        <f t="shared" si="29"/>
        <v>11</v>
      </c>
      <c r="AE126" s="315"/>
      <c r="AF126" s="315"/>
      <c r="AG126" s="206">
        <f t="shared" si="30"/>
        <v>8</v>
      </c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20"/>
      <c r="AR126" s="317"/>
      <c r="AS126" s="319"/>
      <c r="AT126" s="319"/>
      <c r="AU126" s="319"/>
      <c r="AV126" s="319"/>
      <c r="AW126" s="319"/>
      <c r="AX126" s="319"/>
      <c r="AY126" s="319"/>
      <c r="AZ126" s="319"/>
      <c r="BA126" s="319"/>
      <c r="BB126" s="319"/>
      <c r="BC126" s="319"/>
      <c r="BD126" s="319"/>
      <c r="BE126" s="319"/>
      <c r="BF126" s="319"/>
      <c r="BG126" s="319"/>
      <c r="BH126" s="319"/>
      <c r="BI126" s="261"/>
      <c r="BJ126" s="261"/>
      <c r="BK126" s="261"/>
      <c r="BL126" s="261"/>
      <c r="BM126" s="261"/>
      <c r="BN126" s="261"/>
      <c r="BO126" s="261"/>
      <c r="BP126" s="261"/>
      <c r="BQ126" s="261"/>
      <c r="BR126" s="261"/>
      <c r="BS126" s="261"/>
      <c r="BT126" s="261"/>
      <c r="BU126" s="261"/>
      <c r="BV126" s="261"/>
      <c r="BW126" s="261"/>
    </row>
    <row r="127" spans="1:75" ht="15.05" customHeight="1">
      <c r="B127" s="1467"/>
      <c r="C127" s="1467"/>
      <c r="D127" s="1467"/>
      <c r="E127" s="1467"/>
      <c r="F127" s="1471"/>
      <c r="G127" s="1471"/>
      <c r="H127" s="1471"/>
      <c r="I127" s="1471"/>
      <c r="J127" s="1471"/>
      <c r="K127" s="230"/>
      <c r="L127" s="230"/>
      <c r="M127" s="230"/>
      <c r="N127" s="315"/>
      <c r="O127" s="315"/>
      <c r="P127" s="315" t="s">
        <v>347</v>
      </c>
      <c r="Q127" s="315" t="s">
        <v>638</v>
      </c>
      <c r="R127" s="315"/>
      <c r="S127" s="315" t="s">
        <v>638</v>
      </c>
      <c r="T127" s="315" t="s">
        <v>391</v>
      </c>
      <c r="U127" s="315"/>
      <c r="V127" s="315"/>
      <c r="W127" s="317">
        <f t="shared" si="28"/>
        <v>15</v>
      </c>
      <c r="X127" s="315" t="s">
        <v>343</v>
      </c>
      <c r="Y127" s="317"/>
      <c r="Z127" s="315"/>
      <c r="AA127" s="597">
        <f t="shared" si="31"/>
        <v>11</v>
      </c>
      <c r="AB127" s="597">
        <f t="shared" si="31"/>
        <v>25</v>
      </c>
      <c r="AC127" s="315"/>
      <c r="AD127" s="206">
        <f t="shared" si="29"/>
        <v>12</v>
      </c>
      <c r="AE127" s="315"/>
      <c r="AF127" s="315"/>
      <c r="AG127" s="206">
        <f t="shared" si="30"/>
        <v>9</v>
      </c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20"/>
      <c r="AR127" s="317"/>
      <c r="AS127" s="319"/>
      <c r="AT127" s="319"/>
      <c r="AU127" s="319"/>
      <c r="AV127" s="319"/>
      <c r="AW127" s="319"/>
      <c r="AX127" s="319"/>
      <c r="AY127" s="319"/>
      <c r="AZ127" s="319"/>
      <c r="BA127" s="319"/>
      <c r="BB127" s="319"/>
      <c r="BC127" s="319"/>
      <c r="BD127" s="319"/>
      <c r="BE127" s="319"/>
      <c r="BF127" s="319"/>
      <c r="BG127" s="319"/>
      <c r="BH127" s="319"/>
      <c r="BI127" s="261"/>
      <c r="BJ127" s="261"/>
      <c r="BK127" s="261"/>
      <c r="BL127" s="261"/>
      <c r="BM127" s="261"/>
      <c r="BN127" s="261"/>
      <c r="BO127" s="261"/>
      <c r="BP127" s="261"/>
      <c r="BQ127" s="261"/>
      <c r="BR127" s="261"/>
      <c r="BS127" s="261"/>
      <c r="BT127" s="261"/>
      <c r="BU127" s="261"/>
      <c r="BV127" s="261"/>
      <c r="BW127" s="261"/>
    </row>
    <row r="128" spans="1:75" ht="15.05" customHeight="1">
      <c r="B128" s="1467"/>
      <c r="C128" s="1467"/>
      <c r="D128" s="1467"/>
      <c r="E128" s="1467"/>
      <c r="F128" s="1471"/>
      <c r="G128" s="1471"/>
      <c r="H128" s="1471"/>
      <c r="I128" s="1471"/>
      <c r="J128" s="1471"/>
      <c r="K128" s="230"/>
      <c r="L128" s="230"/>
      <c r="M128" s="230"/>
      <c r="N128" s="315"/>
      <c r="O128" s="315"/>
      <c r="P128" s="315"/>
      <c r="Q128" s="315" t="s">
        <v>637</v>
      </c>
      <c r="R128" s="315"/>
      <c r="S128" s="315" t="s">
        <v>338</v>
      </c>
      <c r="T128" s="315" t="s">
        <v>392</v>
      </c>
      <c r="U128" s="315"/>
      <c r="V128" s="315"/>
      <c r="W128" s="317">
        <f t="shared" si="28"/>
        <v>16</v>
      </c>
      <c r="X128" s="315" t="s">
        <v>346</v>
      </c>
      <c r="Y128" s="317"/>
      <c r="Z128" s="315"/>
      <c r="AA128" s="597">
        <f t="shared" si="31"/>
        <v>12</v>
      </c>
      <c r="AB128" s="597">
        <f t="shared" si="31"/>
        <v>26</v>
      </c>
      <c r="AC128" s="315"/>
      <c r="AD128" s="206">
        <f t="shared" si="29"/>
        <v>13</v>
      </c>
      <c r="AE128" s="315"/>
      <c r="AF128" s="315"/>
      <c r="AG128" s="206">
        <f t="shared" si="30"/>
        <v>10</v>
      </c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20"/>
      <c r="AR128" s="317"/>
      <c r="AS128" s="319"/>
      <c r="AT128" s="319"/>
      <c r="AU128" s="319"/>
      <c r="AV128" s="319"/>
      <c r="AW128" s="319"/>
      <c r="AX128" s="319"/>
      <c r="AY128" s="319"/>
      <c r="AZ128" s="319"/>
      <c r="BA128" s="319"/>
      <c r="BB128" s="319"/>
      <c r="BC128" s="319"/>
      <c r="BD128" s="319"/>
      <c r="BE128" s="319"/>
      <c r="BF128" s="319"/>
      <c r="BG128" s="319"/>
      <c r="BH128" s="319"/>
      <c r="BI128" s="261"/>
      <c r="BJ128" s="261"/>
      <c r="BK128" s="261"/>
      <c r="BL128" s="261"/>
      <c r="BM128" s="261"/>
      <c r="BN128" s="261"/>
      <c r="BO128" s="261"/>
      <c r="BP128" s="261"/>
      <c r="BQ128" s="261"/>
      <c r="BR128" s="261"/>
      <c r="BS128" s="261"/>
      <c r="BT128" s="261"/>
      <c r="BU128" s="261"/>
      <c r="BV128" s="261"/>
      <c r="BW128" s="261"/>
    </row>
    <row r="129" spans="2:75" ht="15.05" customHeight="1">
      <c r="B129" s="1468"/>
      <c r="C129" s="1468"/>
      <c r="D129" s="1468"/>
      <c r="E129" s="1468"/>
      <c r="F129" s="1471"/>
      <c r="G129" s="1471"/>
      <c r="H129" s="1471"/>
      <c r="I129" s="1471"/>
      <c r="J129" s="1471"/>
      <c r="K129" s="230"/>
      <c r="L129" s="230"/>
      <c r="M129" s="230"/>
      <c r="N129" s="315"/>
      <c r="O129" s="315"/>
      <c r="P129" s="315"/>
      <c r="Q129" s="315" t="s">
        <v>344</v>
      </c>
      <c r="R129" s="315"/>
      <c r="S129" s="315" t="s">
        <v>637</v>
      </c>
      <c r="T129" s="315"/>
      <c r="U129" s="315"/>
      <c r="V129" s="315"/>
      <c r="W129" s="317">
        <f t="shared" si="28"/>
        <v>17</v>
      </c>
      <c r="X129" s="315" t="s">
        <v>349</v>
      </c>
      <c r="Y129" s="317"/>
      <c r="Z129" s="315"/>
      <c r="AA129" s="597">
        <f t="shared" si="31"/>
        <v>13</v>
      </c>
      <c r="AB129" s="597">
        <f t="shared" si="31"/>
        <v>27</v>
      </c>
      <c r="AC129" s="315"/>
      <c r="AD129" s="206">
        <f t="shared" si="29"/>
        <v>14</v>
      </c>
      <c r="AE129" s="315"/>
      <c r="AF129" s="315"/>
      <c r="AG129" s="206">
        <f t="shared" si="30"/>
        <v>11</v>
      </c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20"/>
      <c r="AR129" s="317"/>
      <c r="AS129" s="319"/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19"/>
      <c r="BF129" s="319"/>
      <c r="BG129" s="319"/>
      <c r="BH129" s="319"/>
      <c r="BI129" s="261"/>
      <c r="BJ129" s="261"/>
      <c r="BK129" s="261"/>
      <c r="BL129" s="261"/>
      <c r="BM129" s="261"/>
      <c r="BN129" s="261"/>
      <c r="BO129" s="261"/>
      <c r="BP129" s="261"/>
      <c r="BQ129" s="261"/>
      <c r="BR129" s="261"/>
      <c r="BS129" s="261"/>
      <c r="BT129" s="261"/>
      <c r="BU129" s="261"/>
      <c r="BV129" s="261"/>
      <c r="BW129" s="261"/>
    </row>
    <row r="130" spans="2:75" ht="15.05" customHeight="1">
      <c r="B130" s="1469"/>
      <c r="C130" s="1469"/>
      <c r="D130" s="1469"/>
      <c r="E130" s="1469"/>
      <c r="F130" s="230"/>
      <c r="G130" s="230"/>
      <c r="H130" s="230"/>
      <c r="I130" s="230"/>
      <c r="J130" s="230"/>
      <c r="K130" s="230"/>
      <c r="L130" s="230"/>
      <c r="M130" s="230"/>
      <c r="N130" s="315"/>
      <c r="O130" s="315"/>
      <c r="P130" s="315"/>
      <c r="Q130" s="315" t="s">
        <v>347</v>
      </c>
      <c r="R130" s="315"/>
      <c r="S130" s="315" t="s">
        <v>640</v>
      </c>
      <c r="T130" s="315"/>
      <c r="U130" s="315"/>
      <c r="V130" s="315"/>
      <c r="W130" s="317">
        <f t="shared" si="28"/>
        <v>18</v>
      </c>
      <c r="X130" s="315" t="s">
        <v>350</v>
      </c>
      <c r="Y130" s="317"/>
      <c r="Z130" s="315"/>
      <c r="AA130" s="597">
        <f t="shared" si="31"/>
        <v>14</v>
      </c>
      <c r="AB130" s="597">
        <f t="shared" si="31"/>
        <v>28</v>
      </c>
      <c r="AC130" s="315"/>
      <c r="AD130" s="206">
        <f t="shared" si="29"/>
        <v>15</v>
      </c>
      <c r="AE130" s="315"/>
      <c r="AF130" s="315"/>
      <c r="AG130" s="206">
        <f t="shared" si="30"/>
        <v>12</v>
      </c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20"/>
      <c r="AR130" s="317"/>
      <c r="AS130" s="319"/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19"/>
      <c r="BI130" s="261"/>
      <c r="BJ130" s="261"/>
      <c r="BK130" s="261"/>
      <c r="BL130" s="261"/>
      <c r="BM130" s="261"/>
      <c r="BN130" s="261"/>
      <c r="BO130" s="261"/>
      <c r="BP130" s="261"/>
      <c r="BQ130" s="261"/>
      <c r="BR130" s="261"/>
      <c r="BS130" s="261"/>
      <c r="BT130" s="261"/>
      <c r="BU130" s="261"/>
      <c r="BV130" s="261"/>
      <c r="BW130" s="261"/>
    </row>
    <row r="131" spans="2:75" ht="15.05" customHeight="1">
      <c r="B131" s="1469"/>
      <c r="C131" s="1469"/>
      <c r="D131" s="1469"/>
      <c r="E131" s="1469"/>
      <c r="F131" s="230"/>
      <c r="G131" s="230"/>
      <c r="H131" s="230"/>
      <c r="I131" s="230"/>
      <c r="J131" s="230"/>
      <c r="K131" s="230"/>
      <c r="L131" s="230"/>
      <c r="M131" s="230"/>
      <c r="N131" s="315"/>
      <c r="O131" s="315"/>
      <c r="P131" s="595" t="s">
        <v>385</v>
      </c>
      <c r="Q131" s="315" t="s">
        <v>639</v>
      </c>
      <c r="R131" s="315"/>
      <c r="S131" s="315" t="s">
        <v>344</v>
      </c>
      <c r="T131" s="315"/>
      <c r="U131" s="315"/>
      <c r="V131" s="315"/>
      <c r="W131" s="317">
        <f t="shared" si="28"/>
        <v>19</v>
      </c>
      <c r="X131" s="315" t="s">
        <v>352</v>
      </c>
      <c r="Y131" s="317"/>
      <c r="Z131" s="315"/>
      <c r="AA131" s="597">
        <f t="shared" si="31"/>
        <v>15</v>
      </c>
      <c r="AB131" s="597">
        <f t="shared" si="31"/>
        <v>29</v>
      </c>
      <c r="AC131" s="315"/>
      <c r="AD131" s="206">
        <f t="shared" si="29"/>
        <v>16</v>
      </c>
      <c r="AE131" s="315"/>
      <c r="AF131" s="315"/>
      <c r="AG131" s="206">
        <f t="shared" si="30"/>
        <v>13</v>
      </c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20"/>
      <c r="AR131" s="317"/>
      <c r="AS131" s="319"/>
      <c r="AT131" s="319"/>
      <c r="AU131" s="319"/>
      <c r="AV131" s="319"/>
      <c r="AW131" s="319"/>
      <c r="AX131" s="319"/>
      <c r="AY131" s="319"/>
      <c r="AZ131" s="319"/>
      <c r="BA131" s="319"/>
      <c r="BB131" s="319"/>
      <c r="BC131" s="319"/>
      <c r="BD131" s="319"/>
      <c r="BE131" s="319"/>
      <c r="BF131" s="319"/>
      <c r="BG131" s="319"/>
      <c r="BH131" s="319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</row>
    <row r="132" spans="2:75" ht="15.05" customHeight="1">
      <c r="B132" s="230"/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315"/>
      <c r="O132" s="315"/>
      <c r="P132" s="315"/>
      <c r="Q132" s="315"/>
      <c r="R132" s="315"/>
      <c r="S132" s="315" t="s">
        <v>347</v>
      </c>
      <c r="T132" s="315"/>
      <c r="U132" s="315"/>
      <c r="V132" s="315"/>
      <c r="W132" s="317">
        <f t="shared" si="28"/>
        <v>20</v>
      </c>
      <c r="X132" s="315" t="s">
        <v>353</v>
      </c>
      <c r="Y132" s="317"/>
      <c r="Z132" s="315"/>
      <c r="AA132" s="597">
        <f t="shared" si="31"/>
        <v>16</v>
      </c>
      <c r="AB132" s="597">
        <f t="shared" si="31"/>
        <v>30</v>
      </c>
      <c r="AC132" s="315"/>
      <c r="AD132" s="206">
        <f t="shared" si="29"/>
        <v>17</v>
      </c>
      <c r="AE132" s="315"/>
      <c r="AF132" s="315"/>
      <c r="AG132" s="206">
        <f t="shared" si="30"/>
        <v>14</v>
      </c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20"/>
      <c r="AR132" s="317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319"/>
      <c r="BF132" s="319"/>
      <c r="BG132" s="319"/>
      <c r="BH132" s="319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</row>
    <row r="133" spans="2:75" ht="15.05" customHeight="1">
      <c r="B133" s="1454"/>
      <c r="C133" s="1454"/>
      <c r="D133" s="1454"/>
      <c r="E133" s="1454"/>
      <c r="F133" s="230"/>
      <c r="G133" s="230"/>
      <c r="H133" s="230"/>
      <c r="I133" s="230"/>
      <c r="J133" s="230"/>
      <c r="K133" s="230"/>
      <c r="L133" s="230"/>
      <c r="M133" s="230"/>
      <c r="N133" s="315"/>
      <c r="O133" s="315"/>
      <c r="P133" s="315" t="s">
        <v>228</v>
      </c>
      <c r="Q133" s="315"/>
      <c r="R133" s="315"/>
      <c r="S133" s="315" t="s">
        <v>639</v>
      </c>
      <c r="T133" s="315"/>
      <c r="U133" s="315"/>
      <c r="V133" s="315"/>
      <c r="W133" s="317">
        <f t="shared" si="28"/>
        <v>21</v>
      </c>
      <c r="X133" s="315" t="s">
        <v>354</v>
      </c>
      <c r="Y133" s="317"/>
      <c r="Z133" s="315"/>
      <c r="AA133" s="597">
        <f t="shared" si="31"/>
        <v>17</v>
      </c>
      <c r="AB133" s="597">
        <f t="shared" si="31"/>
        <v>31</v>
      </c>
      <c r="AC133" s="315"/>
      <c r="AD133" s="206">
        <f t="shared" si="29"/>
        <v>18</v>
      </c>
      <c r="AE133" s="315"/>
      <c r="AF133" s="315"/>
      <c r="AG133" s="206">
        <f t="shared" si="30"/>
        <v>15</v>
      </c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20"/>
      <c r="AR133" s="317"/>
      <c r="AS133" s="319"/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19"/>
      <c r="BF133" s="319"/>
      <c r="BG133" s="319"/>
      <c r="BH133" s="319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</row>
    <row r="134" spans="2:75" ht="15.05" customHeight="1">
      <c r="B134" s="230"/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315"/>
      <c r="O134" s="315"/>
      <c r="P134" s="315" t="s">
        <v>355</v>
      </c>
      <c r="Q134" s="315"/>
      <c r="R134" s="315"/>
      <c r="S134" s="315" t="s">
        <v>360</v>
      </c>
      <c r="T134" s="315"/>
      <c r="U134" s="315"/>
      <c r="V134" s="315"/>
      <c r="W134" s="317">
        <f t="shared" si="28"/>
        <v>22</v>
      </c>
      <c r="X134" s="315" t="s">
        <v>356</v>
      </c>
      <c r="Y134" s="317"/>
      <c r="Z134" s="315"/>
      <c r="AA134" s="597">
        <f>SUM(AA133+1)</f>
        <v>18</v>
      </c>
      <c r="AB134" s="597">
        <f>SUM(AB133+1)</f>
        <v>32</v>
      </c>
      <c r="AC134" s="315"/>
      <c r="AD134" s="206">
        <f t="shared" si="29"/>
        <v>19</v>
      </c>
      <c r="AE134" s="315"/>
      <c r="AF134" s="315"/>
      <c r="AG134" s="206">
        <f t="shared" si="30"/>
        <v>16</v>
      </c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20"/>
      <c r="AR134" s="317"/>
      <c r="AS134" s="319"/>
      <c r="AT134" s="319"/>
      <c r="AU134" s="319"/>
      <c r="AV134" s="319"/>
      <c r="AW134" s="319"/>
      <c r="AX134" s="319"/>
      <c r="AY134" s="319"/>
      <c r="AZ134" s="319"/>
      <c r="BA134" s="319"/>
      <c r="BB134" s="319"/>
      <c r="BC134" s="319"/>
      <c r="BD134" s="319"/>
      <c r="BE134" s="319"/>
      <c r="BF134" s="319"/>
      <c r="BG134" s="319"/>
      <c r="BH134" s="319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</row>
    <row r="135" spans="2:75" ht="15.05" customHeight="1">
      <c r="B135" s="1455"/>
      <c r="C135" s="1455"/>
      <c r="D135" s="1455"/>
      <c r="E135" s="1455"/>
      <c r="F135" s="230"/>
      <c r="G135" s="230"/>
      <c r="H135" s="230"/>
      <c r="I135" s="230"/>
      <c r="J135" s="230"/>
      <c r="K135" s="230"/>
      <c r="L135" s="230"/>
      <c r="M135" s="230"/>
      <c r="N135" s="315"/>
      <c r="O135" s="315"/>
      <c r="P135" s="598" t="s">
        <v>357</v>
      </c>
      <c r="Q135" s="595"/>
      <c r="R135" s="315"/>
      <c r="S135" s="315" t="s">
        <v>361</v>
      </c>
      <c r="T135" s="315"/>
      <c r="U135" s="315"/>
      <c r="V135" s="315"/>
      <c r="W135" s="317">
        <f t="shared" si="28"/>
        <v>23</v>
      </c>
      <c r="X135" s="315"/>
      <c r="Y135" s="317"/>
      <c r="Z135" s="315"/>
      <c r="AA135" s="597">
        <f t="shared" si="31"/>
        <v>19</v>
      </c>
      <c r="AB135" s="597">
        <f t="shared" si="31"/>
        <v>33</v>
      </c>
      <c r="AC135" s="315"/>
      <c r="AD135" s="206">
        <f t="shared" si="29"/>
        <v>20</v>
      </c>
      <c r="AE135" s="315"/>
      <c r="AF135" s="315"/>
      <c r="AG135" s="206">
        <f t="shared" si="30"/>
        <v>17</v>
      </c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20"/>
      <c r="AR135" s="317"/>
      <c r="AS135" s="319"/>
      <c r="AT135" s="319"/>
      <c r="AU135" s="319"/>
      <c r="AV135" s="319"/>
      <c r="AW135" s="319"/>
      <c r="AX135" s="319"/>
      <c r="AY135" s="319"/>
      <c r="AZ135" s="319"/>
      <c r="BA135" s="319"/>
      <c r="BB135" s="319"/>
      <c r="BC135" s="319"/>
      <c r="BD135" s="319"/>
      <c r="BE135" s="319"/>
      <c r="BF135" s="319"/>
      <c r="BG135" s="319"/>
      <c r="BH135" s="319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</row>
    <row r="136" spans="2:75" ht="15.05" customHeight="1">
      <c r="B136" s="230"/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315"/>
      <c r="O136" s="315"/>
      <c r="P136" s="315" t="s">
        <v>358</v>
      </c>
      <c r="Q136" s="315"/>
      <c r="R136" s="315"/>
      <c r="S136" s="315" t="s">
        <v>362</v>
      </c>
      <c r="T136" s="315"/>
      <c r="U136" s="315"/>
      <c r="V136" s="315"/>
      <c r="W136" s="317">
        <f t="shared" si="28"/>
        <v>24</v>
      </c>
      <c r="X136" s="315"/>
      <c r="Y136" s="317"/>
      <c r="Z136" s="315"/>
      <c r="AA136" s="597">
        <f t="shared" si="31"/>
        <v>20</v>
      </c>
      <c r="AB136" s="597">
        <f t="shared" si="31"/>
        <v>34</v>
      </c>
      <c r="AC136" s="315"/>
      <c r="AD136" s="206">
        <f t="shared" si="29"/>
        <v>21</v>
      </c>
      <c r="AE136" s="315"/>
      <c r="AF136" s="315"/>
      <c r="AG136" s="206">
        <f t="shared" si="30"/>
        <v>18</v>
      </c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20"/>
      <c r="AR136" s="317"/>
      <c r="AS136" s="319"/>
      <c r="AT136" s="319"/>
      <c r="AU136" s="319"/>
      <c r="AV136" s="319"/>
      <c r="AW136" s="319"/>
      <c r="AX136" s="319"/>
      <c r="AY136" s="319"/>
      <c r="AZ136" s="319"/>
      <c r="BA136" s="319"/>
      <c r="BB136" s="319"/>
      <c r="BC136" s="319"/>
      <c r="BD136" s="319"/>
      <c r="BE136" s="319"/>
      <c r="BF136" s="319"/>
      <c r="BG136" s="319"/>
      <c r="BH136" s="319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</row>
    <row r="137" spans="2:75" ht="15.05" customHeight="1">
      <c r="B137" s="230"/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315"/>
      <c r="O137" s="315"/>
      <c r="P137" s="315" t="s">
        <v>359</v>
      </c>
      <c r="Q137" s="595" t="s">
        <v>387</v>
      </c>
      <c r="R137" s="315"/>
      <c r="S137" s="315" t="s">
        <v>366</v>
      </c>
      <c r="T137" s="315"/>
      <c r="U137" s="315"/>
      <c r="V137" s="315"/>
      <c r="W137" s="317">
        <f t="shared" si="28"/>
        <v>25</v>
      </c>
      <c r="X137" s="315"/>
      <c r="Y137" s="317"/>
      <c r="Z137" s="315"/>
      <c r="AA137" s="597">
        <f t="shared" si="31"/>
        <v>21</v>
      </c>
      <c r="AB137" s="597">
        <f t="shared" si="31"/>
        <v>35</v>
      </c>
      <c r="AC137" s="315"/>
      <c r="AD137" s="206">
        <f t="shared" si="29"/>
        <v>22</v>
      </c>
      <c r="AE137" s="315"/>
      <c r="AF137" s="315"/>
      <c r="AG137" s="206">
        <f t="shared" si="30"/>
        <v>19</v>
      </c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20"/>
      <c r="AR137" s="317"/>
      <c r="AS137" s="319"/>
      <c r="AT137" s="319"/>
      <c r="AU137" s="319"/>
      <c r="AV137" s="319"/>
      <c r="AW137" s="319"/>
      <c r="AX137" s="319"/>
      <c r="AY137" s="319"/>
      <c r="AZ137" s="319"/>
      <c r="BA137" s="319"/>
      <c r="BB137" s="319"/>
      <c r="BC137" s="319"/>
      <c r="BD137" s="319"/>
      <c r="BE137" s="319"/>
      <c r="BF137" s="319"/>
      <c r="BG137" s="319"/>
      <c r="BH137" s="319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</row>
    <row r="138" spans="2:75" ht="15.05" customHeight="1">
      <c r="B138" s="230"/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315"/>
      <c r="O138" s="315"/>
      <c r="P138" s="315" t="s">
        <v>675</v>
      </c>
      <c r="Q138" s="315"/>
      <c r="R138" s="315"/>
      <c r="S138" s="315" t="s">
        <v>518</v>
      </c>
      <c r="T138" s="315"/>
      <c r="U138" s="315"/>
      <c r="V138" s="315"/>
      <c r="W138" s="317">
        <f t="shared" si="28"/>
        <v>26</v>
      </c>
      <c r="X138" s="315"/>
      <c r="Y138" s="317"/>
      <c r="Z138" s="315"/>
      <c r="AA138" s="597">
        <f t="shared" si="31"/>
        <v>22</v>
      </c>
      <c r="AB138" s="597">
        <f t="shared" si="31"/>
        <v>36</v>
      </c>
      <c r="AC138" s="315"/>
      <c r="AD138" s="206">
        <f t="shared" si="29"/>
        <v>23</v>
      </c>
      <c r="AE138" s="315"/>
      <c r="AF138" s="315"/>
      <c r="AG138" s="206">
        <f t="shared" si="30"/>
        <v>20</v>
      </c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20"/>
      <c r="AR138" s="317"/>
      <c r="AS138" s="319"/>
      <c r="AT138" s="319"/>
      <c r="AU138" s="319"/>
      <c r="AV138" s="319"/>
      <c r="AW138" s="319"/>
      <c r="AX138" s="319"/>
      <c r="AY138" s="319"/>
      <c r="AZ138" s="319"/>
      <c r="BA138" s="319"/>
      <c r="BB138" s="319"/>
      <c r="BC138" s="319"/>
      <c r="BD138" s="319"/>
      <c r="BE138" s="319"/>
      <c r="BF138" s="319"/>
      <c r="BG138" s="319"/>
      <c r="BH138" s="319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</row>
    <row r="139" spans="2:75" ht="15.05" customHeight="1">
      <c r="B139" s="230"/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315"/>
      <c r="O139" s="315"/>
      <c r="P139" s="315" t="s">
        <v>676</v>
      </c>
      <c r="Q139" s="315" t="s">
        <v>228</v>
      </c>
      <c r="R139" s="315"/>
      <c r="S139" s="315"/>
      <c r="T139" s="315"/>
      <c r="U139" s="315"/>
      <c r="V139" s="315"/>
      <c r="W139" s="317">
        <f t="shared" si="28"/>
        <v>27</v>
      </c>
      <c r="X139" s="315"/>
      <c r="Y139" s="317"/>
      <c r="Z139" s="315"/>
      <c r="AA139" s="597">
        <f t="shared" si="31"/>
        <v>23</v>
      </c>
      <c r="AB139" s="597">
        <f t="shared" si="31"/>
        <v>37</v>
      </c>
      <c r="AC139" s="315"/>
      <c r="AD139" s="206">
        <f t="shared" si="29"/>
        <v>24</v>
      </c>
      <c r="AE139" s="315"/>
      <c r="AF139" s="315"/>
      <c r="AG139" s="206">
        <f t="shared" si="30"/>
        <v>21</v>
      </c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20"/>
      <c r="AR139" s="317"/>
      <c r="AS139" s="319"/>
      <c r="AT139" s="319"/>
      <c r="AU139" s="319"/>
      <c r="AV139" s="319"/>
      <c r="AW139" s="319"/>
      <c r="AX139" s="319"/>
      <c r="AY139" s="319"/>
      <c r="AZ139" s="319"/>
      <c r="BA139" s="319"/>
      <c r="BB139" s="319"/>
      <c r="BC139" s="319"/>
      <c r="BD139" s="319"/>
      <c r="BE139" s="319"/>
      <c r="BF139" s="319"/>
      <c r="BG139" s="319"/>
      <c r="BH139" s="319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</row>
    <row r="140" spans="2:75" ht="15.05" customHeight="1">
      <c r="B140" s="230"/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315"/>
      <c r="O140" s="315"/>
      <c r="P140" s="387"/>
      <c r="Q140" s="315" t="s">
        <v>355</v>
      </c>
      <c r="R140" s="387"/>
      <c r="S140" s="315"/>
      <c r="T140" s="315"/>
      <c r="U140" s="315"/>
      <c r="V140" s="315"/>
      <c r="W140" s="317">
        <f t="shared" si="28"/>
        <v>28</v>
      </c>
      <c r="X140" s="315"/>
      <c r="Y140" s="317"/>
      <c r="Z140" s="315"/>
      <c r="AA140" s="597">
        <f t="shared" si="31"/>
        <v>24</v>
      </c>
      <c r="AB140" s="597">
        <f t="shared" si="31"/>
        <v>38</v>
      </c>
      <c r="AC140" s="315"/>
      <c r="AD140" s="206">
        <f t="shared" si="29"/>
        <v>25</v>
      </c>
      <c r="AE140" s="315"/>
      <c r="AF140" s="315"/>
      <c r="AG140" s="206">
        <f t="shared" si="30"/>
        <v>22</v>
      </c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20"/>
      <c r="AR140" s="317"/>
      <c r="AS140" s="319"/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</row>
    <row r="141" spans="2:75" ht="15.05" customHeight="1">
      <c r="B141" s="230"/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315"/>
      <c r="O141" s="315"/>
      <c r="P141" s="387"/>
      <c r="Q141" s="315" t="s">
        <v>357</v>
      </c>
      <c r="R141" s="387"/>
      <c r="S141" s="315"/>
      <c r="T141" s="315"/>
      <c r="U141" s="315"/>
      <c r="V141" s="315"/>
      <c r="W141" s="317">
        <f t="shared" si="28"/>
        <v>29</v>
      </c>
      <c r="X141" s="315"/>
      <c r="Y141" s="317"/>
      <c r="Z141" s="315"/>
      <c r="AA141" s="597">
        <f t="shared" si="31"/>
        <v>25</v>
      </c>
      <c r="AB141" s="597">
        <f t="shared" si="31"/>
        <v>39</v>
      </c>
      <c r="AC141" s="315"/>
      <c r="AD141" s="206">
        <f t="shared" si="29"/>
        <v>26</v>
      </c>
      <c r="AE141" s="315"/>
      <c r="AF141" s="315"/>
      <c r="AG141" s="206">
        <f t="shared" si="30"/>
        <v>23</v>
      </c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20"/>
      <c r="AR141" s="317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</row>
    <row r="142" spans="2:75" ht="15.05" customHeight="1">
      <c r="B142" s="230"/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315"/>
      <c r="O142" s="315"/>
      <c r="P142" s="599"/>
      <c r="Q142" s="315" t="s">
        <v>358</v>
      </c>
      <c r="R142" s="387"/>
      <c r="S142" s="388"/>
      <c r="T142" s="315"/>
      <c r="U142" s="315"/>
      <c r="V142" s="315"/>
      <c r="W142" s="317">
        <f t="shared" si="28"/>
        <v>30</v>
      </c>
      <c r="X142" s="315"/>
      <c r="Y142" s="317"/>
      <c r="Z142" s="315"/>
      <c r="AA142" s="597">
        <f t="shared" si="31"/>
        <v>26</v>
      </c>
      <c r="AB142" s="597">
        <f t="shared" si="31"/>
        <v>40</v>
      </c>
      <c r="AC142" s="315"/>
      <c r="AD142" s="206">
        <f t="shared" si="29"/>
        <v>27</v>
      </c>
      <c r="AE142" s="315"/>
      <c r="AF142" s="315"/>
      <c r="AG142" s="206">
        <f t="shared" si="30"/>
        <v>24</v>
      </c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20"/>
      <c r="AR142" s="317"/>
      <c r="AS142" s="319"/>
      <c r="AT142" s="319"/>
      <c r="AU142" s="319"/>
      <c r="AV142" s="319"/>
      <c r="AW142" s="319"/>
      <c r="AX142" s="319"/>
      <c r="AY142" s="319"/>
      <c r="AZ142" s="319"/>
      <c r="BA142" s="319"/>
      <c r="BB142" s="319"/>
      <c r="BC142" s="319"/>
      <c r="BD142" s="319"/>
      <c r="BE142" s="319"/>
      <c r="BF142" s="319"/>
      <c r="BG142" s="319"/>
      <c r="BH142" s="319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</row>
    <row r="143" spans="2:75" ht="15.05" customHeight="1">
      <c r="B143" s="230"/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315"/>
      <c r="O143" s="315"/>
      <c r="P143" s="388"/>
      <c r="Q143" s="315" t="s">
        <v>359</v>
      </c>
      <c r="R143" s="387"/>
      <c r="S143" s="387"/>
      <c r="T143" s="315"/>
      <c r="U143" s="315"/>
      <c r="V143" s="315"/>
      <c r="W143" s="317">
        <f t="shared" si="28"/>
        <v>31</v>
      </c>
      <c r="X143" s="315"/>
      <c r="Y143" s="317"/>
      <c r="Z143" s="315"/>
      <c r="AA143" s="597">
        <f t="shared" si="31"/>
        <v>27</v>
      </c>
      <c r="AB143" s="597">
        <f t="shared" si="31"/>
        <v>41</v>
      </c>
      <c r="AC143" s="315"/>
      <c r="AD143" s="206">
        <f t="shared" si="29"/>
        <v>28</v>
      </c>
      <c r="AE143" s="315"/>
      <c r="AF143" s="315"/>
      <c r="AG143" s="206">
        <f t="shared" si="30"/>
        <v>25</v>
      </c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20"/>
      <c r="AR143" s="317"/>
      <c r="AS143" s="319"/>
      <c r="AT143" s="319"/>
      <c r="AU143" s="319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19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</row>
    <row r="144" spans="2:75" ht="15.05" customHeight="1">
      <c r="B144" s="230"/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315"/>
      <c r="O144" s="315"/>
      <c r="P144" s="388"/>
      <c r="Q144" s="388" t="s">
        <v>675</v>
      </c>
      <c r="R144" s="387"/>
      <c r="S144" s="595" t="s">
        <v>388</v>
      </c>
      <c r="T144" s="599" t="s">
        <v>389</v>
      </c>
      <c r="U144" s="315"/>
      <c r="V144" s="315"/>
      <c r="W144" s="317">
        <f t="shared" si="28"/>
        <v>32</v>
      </c>
      <c r="X144" s="315"/>
      <c r="Y144" s="317"/>
      <c r="Z144" s="315"/>
      <c r="AA144" s="597">
        <f t="shared" si="31"/>
        <v>28</v>
      </c>
      <c r="AB144" s="597">
        <f t="shared" si="31"/>
        <v>42</v>
      </c>
      <c r="AC144" s="315"/>
      <c r="AD144" s="206">
        <f t="shared" si="29"/>
        <v>29</v>
      </c>
      <c r="AE144" s="315"/>
      <c r="AF144" s="315"/>
      <c r="AG144" s="206">
        <f t="shared" si="30"/>
        <v>26</v>
      </c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20"/>
      <c r="AR144" s="317"/>
      <c r="AS144" s="319"/>
      <c r="AT144" s="319"/>
      <c r="AU144" s="319"/>
      <c r="AV144" s="319"/>
      <c r="AW144" s="319"/>
      <c r="AX144" s="319"/>
      <c r="AY144" s="319"/>
      <c r="AZ144" s="319"/>
      <c r="BA144" s="319"/>
      <c r="BB144" s="319"/>
      <c r="BC144" s="319"/>
      <c r="BD144" s="319"/>
      <c r="BE144" s="319"/>
      <c r="BF144" s="319"/>
      <c r="BG144" s="319"/>
      <c r="BH144" s="319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</row>
    <row r="145" spans="1:75" ht="15.05" customHeight="1">
      <c r="B145" s="230"/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315"/>
      <c r="O145" s="315"/>
      <c r="P145" s="388"/>
      <c r="Q145" s="315" t="s">
        <v>676</v>
      </c>
      <c r="R145" s="387"/>
      <c r="S145" s="315"/>
      <c r="T145" s="388"/>
      <c r="U145" s="315"/>
      <c r="V145" s="315"/>
      <c r="W145" s="317">
        <f t="shared" si="28"/>
        <v>33</v>
      </c>
      <c r="X145" s="315"/>
      <c r="Y145" s="317"/>
      <c r="Z145" s="315"/>
      <c r="AA145" s="597">
        <f t="shared" si="31"/>
        <v>29</v>
      </c>
      <c r="AB145" s="597">
        <f t="shared" si="31"/>
        <v>43</v>
      </c>
      <c r="AC145" s="315"/>
      <c r="AD145" s="206">
        <f t="shared" si="29"/>
        <v>30</v>
      </c>
      <c r="AE145" s="315"/>
      <c r="AF145" s="315"/>
      <c r="AG145" s="206">
        <f t="shared" si="30"/>
        <v>27</v>
      </c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20"/>
      <c r="AR145" s="317"/>
      <c r="AS145" s="319"/>
      <c r="AT145" s="319"/>
      <c r="AU145" s="319"/>
      <c r="AV145" s="319"/>
      <c r="AW145" s="319"/>
      <c r="AX145" s="319"/>
      <c r="AY145" s="319"/>
      <c r="AZ145" s="319"/>
      <c r="BA145" s="319"/>
      <c r="BB145" s="319"/>
      <c r="BC145" s="319"/>
      <c r="BD145" s="319"/>
      <c r="BE145" s="319"/>
      <c r="BF145" s="319"/>
      <c r="BG145" s="319"/>
      <c r="BH145" s="319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</row>
    <row r="146" spans="1:75" ht="15.05" customHeight="1">
      <c r="B146" s="230"/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315"/>
      <c r="O146" s="315"/>
      <c r="P146" s="388"/>
      <c r="Q146" s="388" t="s">
        <v>371</v>
      </c>
      <c r="R146" s="387"/>
      <c r="S146" s="315" t="s">
        <v>228</v>
      </c>
      <c r="T146" s="205" t="s">
        <v>65</v>
      </c>
      <c r="U146" s="315"/>
      <c r="V146" s="315"/>
      <c r="W146" s="317">
        <f t="shared" si="28"/>
        <v>34</v>
      </c>
      <c r="X146" s="315"/>
      <c r="Y146" s="317"/>
      <c r="Z146" s="315"/>
      <c r="AA146" s="597">
        <f t="shared" si="31"/>
        <v>30</v>
      </c>
      <c r="AB146" s="597">
        <f t="shared" si="31"/>
        <v>44</v>
      </c>
      <c r="AC146" s="315"/>
      <c r="AD146" s="206">
        <f t="shared" si="29"/>
        <v>31</v>
      </c>
      <c r="AE146" s="315"/>
      <c r="AF146" s="315"/>
      <c r="AG146" s="206">
        <f t="shared" si="30"/>
        <v>28</v>
      </c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20"/>
      <c r="AR146" s="317"/>
      <c r="AS146" s="319"/>
      <c r="AT146" s="319"/>
      <c r="AU146" s="319"/>
      <c r="AV146" s="319"/>
      <c r="AW146" s="319"/>
      <c r="AX146" s="319"/>
      <c r="AY146" s="319"/>
      <c r="AZ146" s="319"/>
      <c r="BA146" s="319"/>
      <c r="BB146" s="319"/>
      <c r="BC146" s="319"/>
      <c r="BD146" s="319"/>
      <c r="BE146" s="319"/>
      <c r="BF146" s="319"/>
      <c r="BG146" s="319"/>
      <c r="BH146" s="319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</row>
    <row r="147" spans="1:75" ht="15.05" customHeight="1">
      <c r="B147" s="230"/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315"/>
      <c r="O147" s="315"/>
      <c r="P147" s="388"/>
      <c r="Q147" s="388" t="s">
        <v>633</v>
      </c>
      <c r="R147" s="387"/>
      <c r="S147" s="315" t="s">
        <v>355</v>
      </c>
      <c r="T147" s="205" t="s">
        <v>66</v>
      </c>
      <c r="U147" s="315"/>
      <c r="V147" s="315"/>
      <c r="W147" s="317">
        <f t="shared" si="28"/>
        <v>35</v>
      </c>
      <c r="X147" s="315"/>
      <c r="Y147" s="317"/>
      <c r="Z147" s="315"/>
      <c r="AA147" s="597">
        <f t="shared" si="31"/>
        <v>31</v>
      </c>
      <c r="AB147" s="597">
        <f t="shared" si="31"/>
        <v>45</v>
      </c>
      <c r="AC147" s="315"/>
      <c r="AD147" s="206">
        <f t="shared" si="29"/>
        <v>32</v>
      </c>
      <c r="AE147" s="315"/>
      <c r="AF147" s="315"/>
      <c r="AG147" s="206">
        <f t="shared" si="30"/>
        <v>29</v>
      </c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20"/>
      <c r="AR147" s="317"/>
      <c r="AS147" s="319"/>
      <c r="AT147" s="319"/>
      <c r="AU147" s="319"/>
      <c r="AV147" s="319"/>
      <c r="AW147" s="319"/>
      <c r="AX147" s="319"/>
      <c r="AY147" s="319"/>
      <c r="AZ147" s="319"/>
      <c r="BA147" s="319"/>
      <c r="BB147" s="319"/>
      <c r="BC147" s="319"/>
      <c r="BD147" s="319"/>
      <c r="BE147" s="319"/>
      <c r="BF147" s="319"/>
      <c r="BG147" s="319"/>
      <c r="BH147" s="319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</row>
    <row r="148" spans="1:75" ht="15.05" customHeight="1">
      <c r="B148" s="230"/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315"/>
      <c r="O148" s="315"/>
      <c r="P148" s="388"/>
      <c r="Q148" s="388" t="s">
        <v>373</v>
      </c>
      <c r="R148" s="387"/>
      <c r="S148" s="315" t="s">
        <v>357</v>
      </c>
      <c r="T148" s="205" t="s">
        <v>67</v>
      </c>
      <c r="U148" s="315"/>
      <c r="V148" s="315"/>
      <c r="W148" s="317">
        <f t="shared" si="28"/>
        <v>36</v>
      </c>
      <c r="X148" s="315"/>
      <c r="Y148" s="317"/>
      <c r="Z148" s="315"/>
      <c r="AA148" s="597">
        <f t="shared" si="31"/>
        <v>32</v>
      </c>
      <c r="AB148" s="597">
        <f t="shared" si="31"/>
        <v>46</v>
      </c>
      <c r="AC148" s="315"/>
      <c r="AD148" s="206">
        <f t="shared" si="29"/>
        <v>33</v>
      </c>
      <c r="AE148" s="315"/>
      <c r="AF148" s="315"/>
      <c r="AG148" s="206">
        <f t="shared" si="30"/>
        <v>30</v>
      </c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20"/>
      <c r="AR148" s="317"/>
      <c r="AS148" s="319"/>
      <c r="AT148" s="319"/>
      <c r="AU148" s="319"/>
      <c r="AV148" s="319"/>
      <c r="AW148" s="319"/>
      <c r="AX148" s="319"/>
      <c r="AY148" s="319"/>
      <c r="AZ148" s="319"/>
      <c r="BA148" s="319"/>
      <c r="BB148" s="319"/>
      <c r="BC148" s="319"/>
      <c r="BD148" s="319"/>
      <c r="BE148" s="319"/>
      <c r="BF148" s="319"/>
      <c r="BG148" s="319"/>
      <c r="BH148" s="319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</row>
    <row r="149" spans="1:75" ht="15.05" customHeight="1">
      <c r="B149" s="230"/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315"/>
      <c r="O149" s="315"/>
      <c r="P149" s="388"/>
      <c r="Q149" s="388"/>
      <c r="R149" s="387"/>
      <c r="S149" s="315" t="s">
        <v>358</v>
      </c>
      <c r="T149" s="205" t="s">
        <v>516</v>
      </c>
      <c r="U149" s="315"/>
      <c r="V149" s="315"/>
      <c r="W149" s="317">
        <f t="shared" si="28"/>
        <v>37</v>
      </c>
      <c r="X149" s="315"/>
      <c r="Y149" s="317"/>
      <c r="Z149" s="315"/>
      <c r="AA149" s="597">
        <f t="shared" si="31"/>
        <v>33</v>
      </c>
      <c r="AB149" s="597">
        <f t="shared" si="31"/>
        <v>47</v>
      </c>
      <c r="AC149" s="315"/>
      <c r="AD149" s="206">
        <f t="shared" si="29"/>
        <v>34</v>
      </c>
      <c r="AE149" s="315"/>
      <c r="AF149" s="315"/>
      <c r="AG149" s="206">
        <f t="shared" si="30"/>
        <v>31</v>
      </c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20"/>
      <c r="AR149" s="317"/>
      <c r="AS149" s="319"/>
      <c r="AT149" s="319"/>
      <c r="AU149" s="319"/>
      <c r="AV149" s="319"/>
      <c r="AW149" s="319"/>
      <c r="AX149" s="319"/>
      <c r="AY149" s="319"/>
      <c r="AZ149" s="319"/>
      <c r="BA149" s="319"/>
      <c r="BB149" s="319"/>
      <c r="BC149" s="319"/>
      <c r="BD149" s="319"/>
      <c r="BE149" s="319"/>
      <c r="BF149" s="319"/>
      <c r="BG149" s="319"/>
      <c r="BH149" s="319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</row>
    <row r="150" spans="1:75" ht="15.05" customHeight="1">
      <c r="B150" s="230"/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315"/>
      <c r="O150" s="315"/>
      <c r="P150" s="388"/>
      <c r="Q150" s="388"/>
      <c r="R150" s="387"/>
      <c r="S150" s="315" t="s">
        <v>359</v>
      </c>
      <c r="T150" s="205" t="s">
        <v>64</v>
      </c>
      <c r="U150" s="315"/>
      <c r="V150" s="315"/>
      <c r="W150" s="317">
        <f t="shared" si="28"/>
        <v>38</v>
      </c>
      <c r="X150" s="315"/>
      <c r="Y150" s="317"/>
      <c r="Z150" s="315"/>
      <c r="AA150" s="597">
        <f t="shared" si="31"/>
        <v>34</v>
      </c>
      <c r="AB150" s="597">
        <f t="shared" si="31"/>
        <v>48</v>
      </c>
      <c r="AC150" s="315"/>
      <c r="AD150" s="206">
        <f t="shared" si="29"/>
        <v>35</v>
      </c>
      <c r="AE150" s="315"/>
      <c r="AF150" s="315"/>
      <c r="AG150" s="206">
        <f t="shared" si="30"/>
        <v>32</v>
      </c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20"/>
      <c r="AR150" s="317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/>
      <c r="BD150" s="319"/>
      <c r="BE150" s="319"/>
      <c r="BF150" s="319"/>
      <c r="BG150" s="319"/>
      <c r="BH150" s="319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</row>
    <row r="151" spans="1:75" ht="15.05" customHeight="1">
      <c r="B151" s="230"/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315"/>
      <c r="O151" s="315"/>
      <c r="P151" s="387"/>
      <c r="Q151" s="599" t="s">
        <v>386</v>
      </c>
      <c r="R151" s="387"/>
      <c r="S151" s="388" t="s">
        <v>675</v>
      </c>
      <c r="T151" s="205" t="s">
        <v>713</v>
      </c>
      <c r="U151" s="315"/>
      <c r="V151" s="315"/>
      <c r="W151" s="317">
        <f t="shared" si="28"/>
        <v>39</v>
      </c>
      <c r="X151" s="315"/>
      <c r="Y151" s="317"/>
      <c r="Z151" s="315"/>
      <c r="AA151" s="597">
        <f t="shared" ref="AA151:AB216" si="32">SUM(AA150+1)</f>
        <v>35</v>
      </c>
      <c r="AB151" s="597">
        <f t="shared" si="32"/>
        <v>49</v>
      </c>
      <c r="AC151" s="315"/>
      <c r="AD151" s="206">
        <f t="shared" si="29"/>
        <v>36</v>
      </c>
      <c r="AE151" s="315"/>
      <c r="AF151" s="315"/>
      <c r="AG151" s="206">
        <f t="shared" si="30"/>
        <v>33</v>
      </c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20"/>
      <c r="AR151" s="317"/>
      <c r="AS151" s="319"/>
      <c r="AT151" s="319"/>
      <c r="AU151" s="319"/>
      <c r="AV151" s="319"/>
      <c r="AW151" s="319"/>
      <c r="AX151" s="319"/>
      <c r="AY151" s="319"/>
      <c r="AZ151" s="319"/>
      <c r="BA151" s="319"/>
      <c r="BB151" s="319"/>
      <c r="BC151" s="319"/>
      <c r="BD151" s="319"/>
      <c r="BE151" s="319"/>
      <c r="BF151" s="319"/>
      <c r="BG151" s="319"/>
      <c r="BH151" s="319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</row>
    <row r="152" spans="1:75" ht="15.05" customHeight="1">
      <c r="B152" s="230"/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315"/>
      <c r="O152" s="315"/>
      <c r="P152" s="599"/>
      <c r="Q152" s="388"/>
      <c r="R152" s="387"/>
      <c r="S152" s="315" t="s">
        <v>676</v>
      </c>
      <c r="T152" s="205" t="s">
        <v>714</v>
      </c>
      <c r="U152" s="315"/>
      <c r="V152" s="315"/>
      <c r="W152" s="317">
        <f t="shared" si="28"/>
        <v>40</v>
      </c>
      <c r="X152" s="315"/>
      <c r="Y152" s="317"/>
      <c r="Z152" s="315"/>
      <c r="AA152" s="597">
        <f t="shared" si="32"/>
        <v>36</v>
      </c>
      <c r="AB152" s="597">
        <f t="shared" si="32"/>
        <v>50</v>
      </c>
      <c r="AC152" s="315"/>
      <c r="AD152" s="206">
        <f t="shared" si="29"/>
        <v>37</v>
      </c>
      <c r="AE152" s="315"/>
      <c r="AF152" s="315"/>
      <c r="AG152" s="206">
        <f t="shared" si="30"/>
        <v>34</v>
      </c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20"/>
      <c r="AR152" s="317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/>
      <c r="BD152" s="319"/>
      <c r="BE152" s="319"/>
      <c r="BF152" s="319"/>
      <c r="BG152" s="319"/>
      <c r="BH152" s="319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</row>
    <row r="153" spans="1:75" ht="15.05" customHeight="1"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315"/>
      <c r="O153" s="315"/>
      <c r="P153" s="388"/>
      <c r="Q153" s="205" t="s">
        <v>65</v>
      </c>
      <c r="R153" s="387"/>
      <c r="S153" s="388" t="s">
        <v>371</v>
      </c>
      <c r="T153" s="205" t="s">
        <v>71</v>
      </c>
      <c r="U153" s="315"/>
      <c r="V153" s="315"/>
      <c r="W153" s="317">
        <f t="shared" si="28"/>
        <v>41</v>
      </c>
      <c r="X153" s="315"/>
      <c r="Y153" s="317"/>
      <c r="Z153" s="315"/>
      <c r="AA153" s="597">
        <f t="shared" si="32"/>
        <v>37</v>
      </c>
      <c r="AB153" s="597">
        <f t="shared" si="32"/>
        <v>51</v>
      </c>
      <c r="AC153" s="315"/>
      <c r="AD153" s="206">
        <f t="shared" si="29"/>
        <v>38</v>
      </c>
      <c r="AE153" s="315"/>
      <c r="AF153" s="315"/>
      <c r="AG153" s="206">
        <f t="shared" si="30"/>
        <v>35</v>
      </c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20"/>
      <c r="AR153" s="317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9"/>
      <c r="BD153" s="319"/>
      <c r="BE153" s="319"/>
      <c r="BF153" s="319"/>
      <c r="BG153" s="319"/>
      <c r="BH153" s="319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</row>
    <row r="154" spans="1:75" ht="15.05" customHeight="1">
      <c r="B154" s="230"/>
      <c r="C154" s="230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315"/>
      <c r="O154" s="315"/>
      <c r="P154" s="388"/>
      <c r="Q154" s="205" t="s">
        <v>66</v>
      </c>
      <c r="R154" s="387"/>
      <c r="S154" s="388" t="s">
        <v>633</v>
      </c>
      <c r="T154" s="213" t="s">
        <v>69</v>
      </c>
      <c r="U154" s="315"/>
      <c r="V154" s="315"/>
      <c r="W154" s="317">
        <f t="shared" si="28"/>
        <v>42</v>
      </c>
      <c r="X154" s="315"/>
      <c r="Y154" s="317"/>
      <c r="Z154" s="315"/>
      <c r="AA154" s="597">
        <f t="shared" si="32"/>
        <v>38</v>
      </c>
      <c r="AB154" s="597">
        <f t="shared" si="32"/>
        <v>52</v>
      </c>
      <c r="AC154" s="315"/>
      <c r="AD154" s="206">
        <f t="shared" si="29"/>
        <v>39</v>
      </c>
      <c r="AE154" s="315"/>
      <c r="AF154" s="315"/>
      <c r="AG154" s="206">
        <f t="shared" si="30"/>
        <v>36</v>
      </c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20"/>
      <c r="AR154" s="317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9"/>
      <c r="BD154" s="319"/>
      <c r="BE154" s="319"/>
      <c r="BF154" s="319"/>
      <c r="BG154" s="319"/>
      <c r="BH154" s="319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</row>
    <row r="155" spans="1:75" ht="15.05" customHeight="1">
      <c r="B155" s="230"/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315"/>
      <c r="O155" s="315"/>
      <c r="P155" s="388"/>
      <c r="Q155" s="205" t="s">
        <v>67</v>
      </c>
      <c r="R155" s="387"/>
      <c r="S155" s="388" t="s">
        <v>373</v>
      </c>
      <c r="T155" s="202" t="s">
        <v>70</v>
      </c>
      <c r="U155" s="315"/>
      <c r="V155" s="315"/>
      <c r="W155" s="317">
        <f t="shared" si="28"/>
        <v>43</v>
      </c>
      <c r="X155" s="315"/>
      <c r="Y155" s="317"/>
      <c r="Z155" s="315"/>
      <c r="AA155" s="597">
        <f t="shared" si="32"/>
        <v>39</v>
      </c>
      <c r="AB155" s="597">
        <f t="shared" si="32"/>
        <v>53</v>
      </c>
      <c r="AC155" s="315"/>
      <c r="AD155" s="206">
        <f t="shared" si="29"/>
        <v>40</v>
      </c>
      <c r="AE155" s="315"/>
      <c r="AF155" s="315"/>
      <c r="AG155" s="206">
        <f t="shared" si="30"/>
        <v>37</v>
      </c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20"/>
      <c r="AR155" s="317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9"/>
      <c r="BD155" s="319"/>
      <c r="BE155" s="319"/>
      <c r="BF155" s="319"/>
      <c r="BG155" s="319"/>
      <c r="BH155" s="319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</row>
    <row r="156" spans="1:75" ht="15.05" customHeight="1">
      <c r="B156" s="230"/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315"/>
      <c r="O156" s="315"/>
      <c r="P156" s="388"/>
      <c r="Q156" s="205" t="s">
        <v>516</v>
      </c>
      <c r="R156" s="387"/>
      <c r="S156" s="388"/>
      <c r="T156" s="202" t="s">
        <v>72</v>
      </c>
      <c r="U156" s="315"/>
      <c r="V156" s="315"/>
      <c r="W156" s="317">
        <f t="shared" si="28"/>
        <v>44</v>
      </c>
      <c r="X156" s="315"/>
      <c r="Y156" s="317"/>
      <c r="Z156" s="315"/>
      <c r="AA156" s="597">
        <f t="shared" si="32"/>
        <v>40</v>
      </c>
      <c r="AB156" s="597">
        <f t="shared" si="32"/>
        <v>54</v>
      </c>
      <c r="AC156" s="315"/>
      <c r="AD156" s="206">
        <f t="shared" si="29"/>
        <v>41</v>
      </c>
      <c r="AE156" s="315"/>
      <c r="AF156" s="315"/>
      <c r="AG156" s="206">
        <f t="shared" si="30"/>
        <v>38</v>
      </c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20"/>
      <c r="AR156" s="317"/>
      <c r="AS156" s="319"/>
      <c r="AT156" s="319"/>
      <c r="AU156" s="319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19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</row>
    <row r="157" spans="1:75" ht="15.05" customHeight="1">
      <c r="B157" s="230"/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315"/>
      <c r="O157" s="315"/>
      <c r="P157" s="388"/>
      <c r="Q157" s="205" t="s">
        <v>64</v>
      </c>
      <c r="R157" s="387"/>
      <c r="S157" s="388"/>
      <c r="T157" s="202" t="s">
        <v>715</v>
      </c>
      <c r="U157" s="315"/>
      <c r="V157" s="315"/>
      <c r="W157" s="317">
        <f t="shared" si="28"/>
        <v>45</v>
      </c>
      <c r="X157" s="315"/>
      <c r="Y157" s="317"/>
      <c r="Z157" s="315"/>
      <c r="AA157" s="597">
        <f t="shared" si="32"/>
        <v>41</v>
      </c>
      <c r="AB157" s="597">
        <f t="shared" si="32"/>
        <v>55</v>
      </c>
      <c r="AC157" s="315"/>
      <c r="AD157" s="206">
        <f t="shared" si="29"/>
        <v>42</v>
      </c>
      <c r="AE157" s="315"/>
      <c r="AF157" s="315"/>
      <c r="AG157" s="206">
        <f t="shared" si="30"/>
        <v>39</v>
      </c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20"/>
      <c r="AR157" s="317"/>
      <c r="AS157" s="319"/>
      <c r="AT157" s="319"/>
      <c r="AU157" s="319"/>
      <c r="AV157" s="319"/>
      <c r="AW157" s="319"/>
      <c r="AX157" s="319"/>
      <c r="AY157" s="319"/>
      <c r="AZ157" s="319"/>
      <c r="BA157" s="319"/>
      <c r="BB157" s="319"/>
      <c r="BC157" s="319"/>
      <c r="BD157" s="319"/>
      <c r="BE157" s="319"/>
      <c r="BF157" s="319"/>
      <c r="BG157" s="319"/>
      <c r="BH157" s="319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</row>
    <row r="158" spans="1:75" ht="15.05" customHeight="1">
      <c r="B158" s="230"/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315"/>
      <c r="O158" s="315"/>
      <c r="P158" s="388"/>
      <c r="Q158" s="205" t="s">
        <v>713</v>
      </c>
      <c r="R158" s="387"/>
      <c r="S158" s="599"/>
      <c r="T158" s="202" t="s">
        <v>716</v>
      </c>
      <c r="U158" s="315"/>
      <c r="V158" s="315"/>
      <c r="W158" s="317">
        <f t="shared" si="28"/>
        <v>46</v>
      </c>
      <c r="X158" s="315"/>
      <c r="Y158" s="317"/>
      <c r="Z158" s="315"/>
      <c r="AA158" s="597">
        <f t="shared" si="32"/>
        <v>42</v>
      </c>
      <c r="AB158" s="597">
        <f t="shared" si="32"/>
        <v>56</v>
      </c>
      <c r="AC158" s="315"/>
      <c r="AD158" s="206">
        <f t="shared" si="29"/>
        <v>43</v>
      </c>
      <c r="AE158" s="315"/>
      <c r="AF158" s="315"/>
      <c r="AG158" s="206">
        <f t="shared" si="30"/>
        <v>40</v>
      </c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20"/>
      <c r="AR158" s="317"/>
      <c r="AS158" s="319"/>
      <c r="AT158" s="319"/>
      <c r="AU158" s="319"/>
      <c r="AV158" s="319"/>
      <c r="AW158" s="319"/>
      <c r="AX158" s="319"/>
      <c r="AY158" s="319"/>
      <c r="AZ158" s="319"/>
      <c r="BA158" s="319"/>
      <c r="BB158" s="319"/>
      <c r="BC158" s="319"/>
      <c r="BD158" s="319"/>
      <c r="BE158" s="319"/>
      <c r="BF158" s="319"/>
      <c r="BG158" s="319"/>
      <c r="BH158" s="319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</row>
    <row r="159" spans="1:75" ht="15.05" customHeight="1">
      <c r="B159" s="230"/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315"/>
      <c r="O159" s="315"/>
      <c r="P159" s="388"/>
      <c r="Q159" s="205" t="s">
        <v>714</v>
      </c>
      <c r="R159" s="387"/>
      <c r="S159" s="388"/>
      <c r="T159" s="202" t="s">
        <v>717</v>
      </c>
      <c r="U159" s="315"/>
      <c r="V159" s="315"/>
      <c r="W159" s="317">
        <f t="shared" si="28"/>
        <v>47</v>
      </c>
      <c r="X159" s="315"/>
      <c r="Y159" s="317"/>
      <c r="Z159" s="315"/>
      <c r="AA159" s="597">
        <f t="shared" si="32"/>
        <v>43</v>
      </c>
      <c r="AB159" s="597">
        <f t="shared" si="32"/>
        <v>57</v>
      </c>
      <c r="AC159" s="315"/>
      <c r="AD159" s="206">
        <f t="shared" si="29"/>
        <v>44</v>
      </c>
      <c r="AE159" s="315"/>
      <c r="AF159" s="315"/>
      <c r="AG159" s="206">
        <f t="shared" si="30"/>
        <v>41</v>
      </c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20"/>
      <c r="AR159" s="317"/>
      <c r="AS159" s="319"/>
      <c r="AT159" s="319"/>
      <c r="AU159" s="319"/>
      <c r="AV159" s="319"/>
      <c r="AW159" s="319"/>
      <c r="AX159" s="319"/>
      <c r="AY159" s="319"/>
      <c r="AZ159" s="319"/>
      <c r="BA159" s="319"/>
      <c r="BB159" s="319"/>
      <c r="BC159" s="319"/>
      <c r="BD159" s="319"/>
      <c r="BE159" s="319"/>
      <c r="BF159" s="319"/>
      <c r="BG159" s="319"/>
      <c r="BH159" s="319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</row>
    <row r="160" spans="1:75" ht="15.05" customHeight="1">
      <c r="A160" s="261"/>
      <c r="B160" s="229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315"/>
      <c r="O160" s="315"/>
      <c r="P160" s="388"/>
      <c r="Q160" s="205" t="s">
        <v>71</v>
      </c>
      <c r="R160" s="387"/>
      <c r="S160" s="388"/>
      <c r="T160" s="202" t="s">
        <v>718</v>
      </c>
      <c r="U160" s="315"/>
      <c r="V160" s="315"/>
      <c r="W160" s="317">
        <f t="shared" si="28"/>
        <v>48</v>
      </c>
      <c r="X160" s="315"/>
      <c r="Y160" s="317"/>
      <c r="Z160" s="315"/>
      <c r="AA160" s="597">
        <f t="shared" si="32"/>
        <v>44</v>
      </c>
      <c r="AB160" s="597">
        <f t="shared" si="32"/>
        <v>58</v>
      </c>
      <c r="AC160" s="315"/>
      <c r="AD160" s="206">
        <f t="shared" si="29"/>
        <v>45</v>
      </c>
      <c r="AE160" s="315"/>
      <c r="AF160" s="315"/>
      <c r="AG160" s="206">
        <f t="shared" si="30"/>
        <v>42</v>
      </c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20"/>
      <c r="AR160" s="317"/>
      <c r="AS160" s="319"/>
      <c r="AT160" s="319"/>
      <c r="AU160" s="319"/>
      <c r="AV160" s="319"/>
      <c r="AW160" s="319"/>
      <c r="AX160" s="319"/>
      <c r="AY160" s="319"/>
      <c r="AZ160" s="319"/>
      <c r="BA160" s="319"/>
      <c r="BB160" s="319"/>
      <c r="BC160" s="319"/>
      <c r="BD160" s="319"/>
      <c r="BE160" s="319"/>
      <c r="BF160" s="319"/>
      <c r="BG160" s="319"/>
      <c r="BH160" s="319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</row>
    <row r="161" spans="1:75" ht="15.05" customHeight="1">
      <c r="A161" s="261"/>
      <c r="B161" s="229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315"/>
      <c r="O161" s="315"/>
      <c r="P161" s="315"/>
      <c r="Q161" s="213" t="s">
        <v>69</v>
      </c>
      <c r="R161" s="387"/>
      <c r="S161" s="388"/>
      <c r="T161" s="202" t="s">
        <v>719</v>
      </c>
      <c r="U161" s="315"/>
      <c r="V161" s="315"/>
      <c r="W161" s="317">
        <f t="shared" si="28"/>
        <v>49</v>
      </c>
      <c r="X161" s="315"/>
      <c r="Y161" s="317"/>
      <c r="Z161" s="315"/>
      <c r="AA161" s="597">
        <f t="shared" si="32"/>
        <v>45</v>
      </c>
      <c r="AB161" s="597">
        <f t="shared" si="32"/>
        <v>59</v>
      </c>
      <c r="AC161" s="315"/>
      <c r="AD161" s="206">
        <f t="shared" si="29"/>
        <v>46</v>
      </c>
      <c r="AE161" s="315"/>
      <c r="AF161" s="315"/>
      <c r="AG161" s="206">
        <f t="shared" si="30"/>
        <v>43</v>
      </c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20"/>
      <c r="AR161" s="317"/>
      <c r="AS161" s="319"/>
      <c r="AT161" s="319"/>
      <c r="AU161" s="319"/>
      <c r="AV161" s="319"/>
      <c r="AW161" s="319"/>
      <c r="AX161" s="319"/>
      <c r="AY161" s="319"/>
      <c r="AZ161" s="319"/>
      <c r="BA161" s="319"/>
      <c r="BB161" s="319"/>
      <c r="BC161" s="319"/>
      <c r="BD161" s="319"/>
      <c r="BE161" s="319"/>
      <c r="BF161" s="319"/>
      <c r="BG161" s="319"/>
      <c r="BH161" s="319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</row>
    <row r="162" spans="1:75" ht="15.05" customHeight="1">
      <c r="A162" s="261"/>
      <c r="B162" s="229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315"/>
      <c r="O162" s="315"/>
      <c r="P162" s="315"/>
      <c r="Q162" s="202" t="s">
        <v>70</v>
      </c>
      <c r="R162" s="387"/>
      <c r="S162" s="388"/>
      <c r="T162" s="202" t="s">
        <v>903</v>
      </c>
      <c r="U162" s="315"/>
      <c r="V162" s="315"/>
      <c r="W162" s="317">
        <f t="shared" si="28"/>
        <v>50</v>
      </c>
      <c r="X162" s="315"/>
      <c r="Y162" s="317"/>
      <c r="Z162" s="315"/>
      <c r="AA162" s="597">
        <f t="shared" si="32"/>
        <v>46</v>
      </c>
      <c r="AB162" s="597">
        <f t="shared" si="32"/>
        <v>60</v>
      </c>
      <c r="AC162" s="315"/>
      <c r="AD162" s="206">
        <f t="shared" si="29"/>
        <v>47</v>
      </c>
      <c r="AE162" s="315"/>
      <c r="AF162" s="315"/>
      <c r="AG162" s="206">
        <f t="shared" si="30"/>
        <v>44</v>
      </c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20"/>
      <c r="AR162" s="317"/>
      <c r="AS162" s="319"/>
      <c r="AT162" s="319"/>
      <c r="AU162" s="319"/>
      <c r="AV162" s="319"/>
      <c r="AW162" s="319"/>
      <c r="AX162" s="319"/>
      <c r="AY162" s="319"/>
      <c r="AZ162" s="319"/>
      <c r="BA162" s="319"/>
      <c r="BB162" s="319"/>
      <c r="BC162" s="319"/>
      <c r="BD162" s="319"/>
      <c r="BE162" s="319"/>
      <c r="BF162" s="319"/>
      <c r="BG162" s="319"/>
      <c r="BH162" s="319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</row>
    <row r="163" spans="1:75" ht="15.05" customHeight="1">
      <c r="A163" s="261"/>
      <c r="B163" s="229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315"/>
      <c r="O163" s="315"/>
      <c r="P163" s="315"/>
      <c r="Q163" s="202" t="s">
        <v>72</v>
      </c>
      <c r="R163" s="387"/>
      <c r="S163" s="388"/>
      <c r="T163" s="202" t="s">
        <v>68</v>
      </c>
      <c r="U163" s="315"/>
      <c r="V163" s="315"/>
      <c r="W163" s="317">
        <f t="shared" si="28"/>
        <v>51</v>
      </c>
      <c r="X163" s="315"/>
      <c r="Y163" s="317"/>
      <c r="Z163" s="315"/>
      <c r="AA163" s="597">
        <f t="shared" si="32"/>
        <v>47</v>
      </c>
      <c r="AB163" s="597">
        <f t="shared" si="32"/>
        <v>61</v>
      </c>
      <c r="AC163" s="315"/>
      <c r="AD163" s="206">
        <f t="shared" si="29"/>
        <v>48</v>
      </c>
      <c r="AE163" s="315"/>
      <c r="AF163" s="315"/>
      <c r="AG163" s="206">
        <f t="shared" si="30"/>
        <v>45</v>
      </c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20"/>
      <c r="AR163" s="317"/>
      <c r="AS163" s="319"/>
      <c r="AT163" s="319"/>
      <c r="AU163" s="319"/>
      <c r="AV163" s="319"/>
      <c r="AW163" s="319"/>
      <c r="AX163" s="319"/>
      <c r="AY163" s="319"/>
      <c r="AZ163" s="319"/>
      <c r="BA163" s="319"/>
      <c r="BB163" s="319"/>
      <c r="BC163" s="319"/>
      <c r="BD163" s="319"/>
      <c r="BE163" s="319"/>
      <c r="BF163" s="319"/>
      <c r="BG163" s="319"/>
      <c r="BH163" s="319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</row>
    <row r="164" spans="1:75" ht="15.05" customHeight="1">
      <c r="A164" s="261"/>
      <c r="B164" s="229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315"/>
      <c r="O164" s="315"/>
      <c r="P164" s="315"/>
      <c r="Q164" s="202" t="s">
        <v>715</v>
      </c>
      <c r="R164" s="387"/>
      <c r="S164" s="388"/>
      <c r="T164" s="202" t="s">
        <v>721</v>
      </c>
      <c r="U164" s="315"/>
      <c r="V164" s="315"/>
      <c r="W164" s="317">
        <f t="shared" si="28"/>
        <v>52</v>
      </c>
      <c r="X164" s="315"/>
      <c r="Y164" s="317"/>
      <c r="Z164" s="315"/>
      <c r="AA164" s="597">
        <f t="shared" si="32"/>
        <v>48</v>
      </c>
      <c r="AB164" s="597">
        <f t="shared" si="32"/>
        <v>62</v>
      </c>
      <c r="AC164" s="315"/>
      <c r="AD164" s="206">
        <f t="shared" si="29"/>
        <v>49</v>
      </c>
      <c r="AE164" s="315"/>
      <c r="AF164" s="315"/>
      <c r="AG164" s="206">
        <f t="shared" si="30"/>
        <v>46</v>
      </c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20"/>
      <c r="AR164" s="317"/>
      <c r="AS164" s="319"/>
      <c r="AT164" s="319"/>
      <c r="AU164" s="319"/>
      <c r="AV164" s="319"/>
      <c r="AW164" s="319"/>
      <c r="AX164" s="319"/>
      <c r="AY164" s="319"/>
      <c r="AZ164" s="319"/>
      <c r="BA164" s="319"/>
      <c r="BB164" s="319"/>
      <c r="BC164" s="319"/>
      <c r="BD164" s="319"/>
      <c r="BE164" s="319"/>
      <c r="BF164" s="319"/>
      <c r="BG164" s="319"/>
      <c r="BH164" s="319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</row>
    <row r="165" spans="1:75" ht="15.05" customHeight="1">
      <c r="A165" s="261"/>
      <c r="B165" s="229"/>
      <c r="C165" s="229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315"/>
      <c r="O165" s="315"/>
      <c r="P165" s="315"/>
      <c r="Q165" s="202" t="s">
        <v>716</v>
      </c>
      <c r="R165" s="387"/>
      <c r="S165" s="388"/>
      <c r="T165" s="202" t="s">
        <v>722</v>
      </c>
      <c r="U165" s="315"/>
      <c r="V165" s="315"/>
      <c r="W165" s="317">
        <f t="shared" si="28"/>
        <v>53</v>
      </c>
      <c r="X165" s="315"/>
      <c r="Y165" s="317"/>
      <c r="Z165" s="315"/>
      <c r="AA165" s="597">
        <f t="shared" si="32"/>
        <v>49</v>
      </c>
      <c r="AB165" s="597">
        <f t="shared" si="32"/>
        <v>63</v>
      </c>
      <c r="AC165" s="315"/>
      <c r="AD165" s="206">
        <f t="shared" si="29"/>
        <v>50</v>
      </c>
      <c r="AE165" s="315"/>
      <c r="AF165" s="315"/>
      <c r="AG165" s="206">
        <f t="shared" si="30"/>
        <v>47</v>
      </c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20"/>
      <c r="AR165" s="317"/>
      <c r="AS165" s="319"/>
      <c r="AT165" s="319"/>
      <c r="AU165" s="319"/>
      <c r="AV165" s="319"/>
      <c r="AW165" s="319"/>
      <c r="AX165" s="319"/>
      <c r="AY165" s="319"/>
      <c r="AZ165" s="319"/>
      <c r="BA165" s="319"/>
      <c r="BB165" s="319"/>
      <c r="BC165" s="319"/>
      <c r="BD165" s="319"/>
      <c r="BE165" s="319"/>
      <c r="BF165" s="319"/>
      <c r="BG165" s="319"/>
      <c r="BH165" s="319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</row>
    <row r="166" spans="1:75" ht="15.05" customHeight="1">
      <c r="A166" s="261"/>
      <c r="B166" s="229"/>
      <c r="C166" s="229"/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315"/>
      <c r="O166" s="315"/>
      <c r="P166" s="315"/>
      <c r="Q166" s="202" t="s">
        <v>717</v>
      </c>
      <c r="R166" s="387"/>
      <c r="S166" s="388"/>
      <c r="T166" s="315"/>
      <c r="U166" s="315"/>
      <c r="V166" s="315"/>
      <c r="W166" s="317">
        <f t="shared" si="28"/>
        <v>54</v>
      </c>
      <c r="X166" s="315"/>
      <c r="Y166" s="317"/>
      <c r="Z166" s="315"/>
      <c r="AA166" s="597">
        <f t="shared" si="32"/>
        <v>50</v>
      </c>
      <c r="AB166" s="597">
        <f t="shared" si="32"/>
        <v>64</v>
      </c>
      <c r="AC166" s="315"/>
      <c r="AD166" s="206">
        <f t="shared" si="29"/>
        <v>51</v>
      </c>
      <c r="AE166" s="315"/>
      <c r="AF166" s="315"/>
      <c r="AG166" s="206">
        <f t="shared" si="30"/>
        <v>48</v>
      </c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20"/>
      <c r="AR166" s="317"/>
      <c r="AS166" s="319"/>
      <c r="AT166" s="319"/>
      <c r="AU166" s="319"/>
      <c r="AV166" s="319"/>
      <c r="AW166" s="319"/>
      <c r="AX166" s="319"/>
      <c r="AY166" s="319"/>
      <c r="AZ166" s="319"/>
      <c r="BA166" s="319"/>
      <c r="BB166" s="319"/>
      <c r="BC166" s="319"/>
      <c r="BD166" s="319"/>
      <c r="BE166" s="319"/>
      <c r="BF166" s="319"/>
      <c r="BG166" s="319"/>
      <c r="BH166" s="319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</row>
    <row r="167" spans="1:75" ht="15.05" customHeight="1">
      <c r="A167" s="261"/>
      <c r="B167" s="229"/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315"/>
      <c r="O167" s="315"/>
      <c r="P167" s="315"/>
      <c r="Q167" s="202" t="s">
        <v>718</v>
      </c>
      <c r="R167" s="387"/>
      <c r="S167" s="315"/>
      <c r="T167" s="315"/>
      <c r="U167" s="315"/>
      <c r="V167" s="315"/>
      <c r="W167" s="317">
        <f t="shared" si="28"/>
        <v>55</v>
      </c>
      <c r="X167" s="315"/>
      <c r="Y167" s="317"/>
      <c r="Z167" s="315"/>
      <c r="AA167" s="597">
        <f t="shared" si="32"/>
        <v>51</v>
      </c>
      <c r="AB167" s="597">
        <f t="shared" si="32"/>
        <v>65</v>
      </c>
      <c r="AC167" s="315"/>
      <c r="AD167" s="206">
        <f t="shared" si="29"/>
        <v>52</v>
      </c>
      <c r="AE167" s="315"/>
      <c r="AF167" s="315"/>
      <c r="AG167" s="206">
        <f t="shared" si="30"/>
        <v>49</v>
      </c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20"/>
      <c r="AR167" s="317"/>
      <c r="AS167" s="319"/>
      <c r="AT167" s="319"/>
      <c r="AU167" s="319"/>
      <c r="AV167" s="319"/>
      <c r="AW167" s="319"/>
      <c r="AX167" s="319"/>
      <c r="AY167" s="319"/>
      <c r="AZ167" s="319"/>
      <c r="BA167" s="319"/>
      <c r="BB167" s="319"/>
      <c r="BC167" s="319"/>
      <c r="BD167" s="319"/>
      <c r="BE167" s="319"/>
      <c r="BF167" s="319"/>
      <c r="BG167" s="319"/>
      <c r="BH167" s="319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</row>
    <row r="168" spans="1:75" ht="15.05" customHeight="1">
      <c r="A168" s="261"/>
      <c r="B168" s="229"/>
      <c r="C168" s="229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315"/>
      <c r="O168" s="315"/>
      <c r="P168" s="315"/>
      <c r="Q168" s="202" t="s">
        <v>719</v>
      </c>
      <c r="R168" s="387"/>
      <c r="S168" s="315"/>
      <c r="T168" s="315"/>
      <c r="U168" s="315"/>
      <c r="V168" s="315"/>
      <c r="W168" s="317">
        <f t="shared" si="28"/>
        <v>56</v>
      </c>
      <c r="X168" s="315"/>
      <c r="Y168" s="317"/>
      <c r="Z168" s="315"/>
      <c r="AA168" s="597">
        <f t="shared" si="32"/>
        <v>52</v>
      </c>
      <c r="AB168" s="597">
        <f t="shared" si="32"/>
        <v>66</v>
      </c>
      <c r="AC168" s="315"/>
      <c r="AD168" s="206">
        <f t="shared" si="29"/>
        <v>53</v>
      </c>
      <c r="AE168" s="315"/>
      <c r="AF168" s="315"/>
      <c r="AG168" s="206">
        <f t="shared" si="30"/>
        <v>50</v>
      </c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20"/>
      <c r="AR168" s="317"/>
      <c r="AS168" s="319"/>
      <c r="AT168" s="319"/>
      <c r="AU168" s="319"/>
      <c r="AV168" s="319"/>
      <c r="AW168" s="319"/>
      <c r="AX168" s="319"/>
      <c r="AY168" s="319"/>
      <c r="AZ168" s="319"/>
      <c r="BA168" s="319"/>
      <c r="BB168" s="319"/>
      <c r="BC168" s="319"/>
      <c r="BD168" s="319"/>
      <c r="BE168" s="319"/>
      <c r="BF168" s="319"/>
      <c r="BG168" s="319"/>
      <c r="BH168" s="319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</row>
    <row r="169" spans="1:75" ht="15.05" customHeight="1">
      <c r="A169" s="261"/>
      <c r="B169" s="229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315"/>
      <c r="O169" s="315"/>
      <c r="P169" s="315"/>
      <c r="Q169" s="202" t="s">
        <v>903</v>
      </c>
      <c r="R169" s="387"/>
      <c r="S169" s="315"/>
      <c r="T169" s="315"/>
      <c r="U169" s="315"/>
      <c r="V169" s="315"/>
      <c r="W169" s="317">
        <f t="shared" si="28"/>
        <v>57</v>
      </c>
      <c r="X169" s="315"/>
      <c r="Y169" s="317"/>
      <c r="Z169" s="315"/>
      <c r="AA169" s="597">
        <f t="shared" si="32"/>
        <v>53</v>
      </c>
      <c r="AB169" s="597">
        <f t="shared" si="32"/>
        <v>67</v>
      </c>
      <c r="AC169" s="315"/>
      <c r="AD169" s="206">
        <f t="shared" si="29"/>
        <v>54</v>
      </c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20"/>
      <c r="AR169" s="317"/>
      <c r="AS169" s="319"/>
      <c r="AT169" s="319"/>
      <c r="AU169" s="319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19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</row>
    <row r="170" spans="1:75" ht="15.05" customHeight="1">
      <c r="A170" s="261"/>
      <c r="B170" s="229"/>
      <c r="C170" s="229"/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315"/>
      <c r="O170" s="315"/>
      <c r="P170" s="315"/>
      <c r="Q170" s="202" t="s">
        <v>68</v>
      </c>
      <c r="R170" s="387"/>
      <c r="S170" s="315"/>
      <c r="T170" s="315"/>
      <c r="U170" s="315"/>
      <c r="V170" s="315"/>
      <c r="W170" s="317">
        <f t="shared" si="28"/>
        <v>58</v>
      </c>
      <c r="X170" s="315"/>
      <c r="Y170" s="317"/>
      <c r="Z170" s="315"/>
      <c r="AA170" s="597">
        <f t="shared" si="32"/>
        <v>54</v>
      </c>
      <c r="AB170" s="597">
        <f t="shared" si="32"/>
        <v>68</v>
      </c>
      <c r="AC170" s="315"/>
      <c r="AD170" s="206">
        <f t="shared" si="29"/>
        <v>55</v>
      </c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20"/>
      <c r="AR170" s="317"/>
      <c r="AS170" s="319"/>
      <c r="AT170" s="319"/>
      <c r="AU170" s="319"/>
      <c r="AV170" s="319"/>
      <c r="AW170" s="319"/>
      <c r="AX170" s="319"/>
      <c r="AY170" s="319"/>
      <c r="AZ170" s="319"/>
      <c r="BA170" s="319"/>
      <c r="BB170" s="319"/>
      <c r="BC170" s="319"/>
      <c r="BD170" s="319"/>
      <c r="BE170" s="319"/>
      <c r="BF170" s="319"/>
      <c r="BG170" s="319"/>
      <c r="BH170" s="319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</row>
    <row r="171" spans="1:75" ht="15.05" customHeight="1">
      <c r="A171" s="261"/>
      <c r="B171" s="229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315"/>
      <c r="O171" s="315"/>
      <c r="P171" s="315"/>
      <c r="Q171" s="202" t="s">
        <v>721</v>
      </c>
      <c r="R171" s="387"/>
      <c r="S171" s="315"/>
      <c r="T171" s="315"/>
      <c r="U171" s="315"/>
      <c r="V171" s="315"/>
      <c r="W171" s="317">
        <f t="shared" si="28"/>
        <v>59</v>
      </c>
      <c r="X171" s="315"/>
      <c r="Y171" s="317"/>
      <c r="Z171" s="315"/>
      <c r="AA171" s="597">
        <f t="shared" si="32"/>
        <v>55</v>
      </c>
      <c r="AB171" s="597">
        <f t="shared" si="32"/>
        <v>69</v>
      </c>
      <c r="AC171" s="315"/>
      <c r="AD171" s="206">
        <f t="shared" si="29"/>
        <v>56</v>
      </c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20"/>
      <c r="AR171" s="317"/>
      <c r="AS171" s="319"/>
      <c r="AT171" s="319"/>
      <c r="AU171" s="319"/>
      <c r="AV171" s="319"/>
      <c r="AW171" s="319"/>
      <c r="AX171" s="319"/>
      <c r="AY171" s="319"/>
      <c r="AZ171" s="319"/>
      <c r="BA171" s="319"/>
      <c r="BB171" s="319"/>
      <c r="BC171" s="319"/>
      <c r="BD171" s="319"/>
      <c r="BE171" s="319"/>
      <c r="BF171" s="319"/>
      <c r="BG171" s="319"/>
      <c r="BH171" s="319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</row>
    <row r="172" spans="1:75" ht="15.05" customHeight="1">
      <c r="A172" s="261"/>
      <c r="B172" s="229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315"/>
      <c r="O172" s="315"/>
      <c r="P172" s="315"/>
      <c r="Q172" s="202" t="s">
        <v>722</v>
      </c>
      <c r="R172" s="387"/>
      <c r="S172" s="315"/>
      <c r="T172" s="315"/>
      <c r="U172" s="315"/>
      <c r="V172" s="315"/>
      <c r="W172" s="317">
        <f t="shared" si="28"/>
        <v>60</v>
      </c>
      <c r="X172" s="315"/>
      <c r="Y172" s="317"/>
      <c r="Z172" s="315"/>
      <c r="AA172" s="597">
        <f t="shared" si="32"/>
        <v>56</v>
      </c>
      <c r="AB172" s="597">
        <f t="shared" si="32"/>
        <v>70</v>
      </c>
      <c r="AC172" s="315"/>
      <c r="AD172" s="206">
        <f t="shared" si="29"/>
        <v>57</v>
      </c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20"/>
      <c r="AR172" s="317"/>
      <c r="AS172" s="319"/>
      <c r="AT172" s="319"/>
      <c r="AU172" s="319"/>
      <c r="AV172" s="319"/>
      <c r="AW172" s="319"/>
      <c r="AX172" s="319"/>
      <c r="AY172" s="319"/>
      <c r="AZ172" s="319"/>
      <c r="BA172" s="319"/>
      <c r="BB172" s="319"/>
      <c r="BC172" s="319"/>
      <c r="BD172" s="319"/>
      <c r="BE172" s="319"/>
      <c r="BF172" s="319"/>
      <c r="BG172" s="319"/>
      <c r="BH172" s="319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</row>
    <row r="173" spans="1:75" ht="15.05" customHeight="1">
      <c r="A173" s="261"/>
      <c r="B173" s="229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315"/>
      <c r="O173" s="315"/>
      <c r="P173" s="219" t="s">
        <v>398</v>
      </c>
      <c r="Q173" s="65"/>
      <c r="R173" s="315"/>
      <c r="S173" s="219" t="s">
        <v>401</v>
      </c>
      <c r="T173" s="315"/>
      <c r="U173" s="219" t="s">
        <v>404</v>
      </c>
      <c r="V173" s="219"/>
      <c r="W173" s="317">
        <f t="shared" si="28"/>
        <v>61</v>
      </c>
      <c r="X173" s="315"/>
      <c r="Y173" s="317"/>
      <c r="Z173" s="315"/>
      <c r="AA173" s="597">
        <f t="shared" si="32"/>
        <v>57</v>
      </c>
      <c r="AB173" s="597">
        <f t="shared" si="32"/>
        <v>71</v>
      </c>
      <c r="AC173" s="315"/>
      <c r="AD173" s="206">
        <f t="shared" si="29"/>
        <v>58</v>
      </c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20"/>
      <c r="AR173" s="317"/>
      <c r="AS173" s="319"/>
      <c r="AT173" s="319"/>
      <c r="AU173" s="319"/>
      <c r="AV173" s="319"/>
      <c r="AW173" s="319"/>
      <c r="AX173" s="319"/>
      <c r="AY173" s="319"/>
      <c r="AZ173" s="319"/>
      <c r="BA173" s="319"/>
      <c r="BB173" s="319"/>
      <c r="BC173" s="319"/>
      <c r="BD173" s="319"/>
      <c r="BE173" s="319"/>
      <c r="BF173" s="319"/>
      <c r="BG173" s="319"/>
      <c r="BH173" s="319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</row>
    <row r="174" spans="1:75" ht="15.05" customHeight="1">
      <c r="A174" s="261"/>
      <c r="B174" s="229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315"/>
      <c r="O174" s="315"/>
      <c r="P174" s="65"/>
      <c r="Q174" s="65"/>
      <c r="R174" s="315"/>
      <c r="S174" s="65"/>
      <c r="T174" s="315"/>
      <c r="U174" s="315"/>
      <c r="V174" s="315"/>
      <c r="W174" s="317">
        <f t="shared" si="28"/>
        <v>62</v>
      </c>
      <c r="X174" s="315"/>
      <c r="Y174" s="317"/>
      <c r="Z174" s="315"/>
      <c r="AA174" s="597">
        <f t="shared" si="32"/>
        <v>58</v>
      </c>
      <c r="AB174" s="597">
        <f t="shared" si="32"/>
        <v>72</v>
      </c>
      <c r="AC174" s="315"/>
      <c r="AD174" s="206">
        <f t="shared" si="29"/>
        <v>59</v>
      </c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20"/>
      <c r="AR174" s="317"/>
      <c r="AS174" s="319"/>
      <c r="AT174" s="319"/>
      <c r="AU174" s="319"/>
      <c r="AV174" s="319"/>
      <c r="AW174" s="319"/>
      <c r="AX174" s="319"/>
      <c r="AY174" s="319"/>
      <c r="AZ174" s="319"/>
      <c r="BA174" s="319"/>
      <c r="BB174" s="319"/>
      <c r="BC174" s="319"/>
      <c r="BD174" s="319"/>
      <c r="BE174" s="319"/>
      <c r="BF174" s="319"/>
      <c r="BG174" s="319"/>
      <c r="BH174" s="319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</row>
    <row r="175" spans="1:75" ht="15.05" customHeight="1">
      <c r="A175" s="261"/>
      <c r="B175" s="229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315"/>
      <c r="O175" s="315"/>
      <c r="P175" s="65" t="s">
        <v>323</v>
      </c>
      <c r="Q175" s="323">
        <f>PRIJZEN!O13</f>
        <v>1.95</v>
      </c>
      <c r="R175" s="315"/>
      <c r="S175" s="65" t="s">
        <v>228</v>
      </c>
      <c r="T175" s="600">
        <f>PRIJZEN!O34</f>
        <v>1.55</v>
      </c>
      <c r="U175" s="65" t="s">
        <v>65</v>
      </c>
      <c r="V175" s="601">
        <f>PRIJZEN!T15</f>
        <v>1.78</v>
      </c>
      <c r="W175" s="317">
        <f t="shared" si="28"/>
        <v>63</v>
      </c>
      <c r="X175" s="315"/>
      <c r="Y175" s="317"/>
      <c r="Z175" s="315"/>
      <c r="AA175" s="597">
        <f t="shared" si="32"/>
        <v>59</v>
      </c>
      <c r="AB175" s="597">
        <f t="shared" si="32"/>
        <v>73</v>
      </c>
      <c r="AC175" s="315"/>
      <c r="AD175" s="206">
        <f t="shared" si="29"/>
        <v>60</v>
      </c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20"/>
      <c r="AR175" s="317"/>
      <c r="AS175" s="319"/>
      <c r="AT175" s="319"/>
      <c r="AU175" s="319"/>
      <c r="AV175" s="319"/>
      <c r="AW175" s="319"/>
      <c r="AX175" s="319"/>
      <c r="AY175" s="319"/>
      <c r="AZ175" s="319"/>
      <c r="BA175" s="319"/>
      <c r="BB175" s="319"/>
      <c r="BC175" s="319"/>
      <c r="BD175" s="319"/>
      <c r="BE175" s="319"/>
      <c r="BF175" s="319"/>
      <c r="BG175" s="319"/>
      <c r="BH175" s="319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</row>
    <row r="176" spans="1:75" ht="15.05" customHeight="1">
      <c r="A176" s="261"/>
      <c r="B176" s="229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315"/>
      <c r="O176" s="315"/>
      <c r="P176" s="65" t="s">
        <v>321</v>
      </c>
      <c r="Q176" s="323">
        <f>PRIJZEN!O14</f>
        <v>1.6</v>
      </c>
      <c r="R176" s="315"/>
      <c r="S176" s="65" t="s">
        <v>355</v>
      </c>
      <c r="T176" s="600">
        <f>PRIJZEN!O35</f>
        <v>1.45</v>
      </c>
      <c r="U176" s="65" t="s">
        <v>66</v>
      </c>
      <c r="V176" s="601">
        <f>PRIJZEN!T16</f>
        <v>1.78</v>
      </c>
      <c r="W176" s="317">
        <f t="shared" si="28"/>
        <v>64</v>
      </c>
      <c r="X176" s="315"/>
      <c r="Y176" s="317"/>
      <c r="Z176" s="315"/>
      <c r="AA176" s="597">
        <f t="shared" si="32"/>
        <v>60</v>
      </c>
      <c r="AB176" s="597">
        <f t="shared" si="32"/>
        <v>74</v>
      </c>
      <c r="AC176" s="315"/>
      <c r="AD176" s="206">
        <f t="shared" si="29"/>
        <v>61</v>
      </c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20"/>
      <c r="AR176" s="317"/>
      <c r="AS176" s="319"/>
      <c r="AT176" s="319"/>
      <c r="AU176" s="319"/>
      <c r="AV176" s="319"/>
      <c r="AW176" s="319"/>
      <c r="AX176" s="319"/>
      <c r="AY176" s="319"/>
      <c r="AZ176" s="319"/>
      <c r="BA176" s="319"/>
      <c r="BB176" s="319"/>
      <c r="BC176" s="319"/>
      <c r="BD176" s="319"/>
      <c r="BE176" s="319"/>
      <c r="BF176" s="319"/>
      <c r="BG176" s="319"/>
      <c r="BH176" s="319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</row>
    <row r="177" spans="1:75" ht="15.05" customHeight="1">
      <c r="A177" s="261"/>
      <c r="B177" s="229"/>
      <c r="C177" s="229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315"/>
      <c r="O177" s="315"/>
      <c r="P177" s="65" t="s">
        <v>322</v>
      </c>
      <c r="Q177" s="323">
        <f>PRIJZEN!O15</f>
        <v>3.45</v>
      </c>
      <c r="R177" s="315"/>
      <c r="S177" s="65" t="s">
        <v>357</v>
      </c>
      <c r="T177" s="600">
        <f>PRIJZEN!O36</f>
        <v>1.45</v>
      </c>
      <c r="U177" s="65" t="s">
        <v>67</v>
      </c>
      <c r="V177" s="601">
        <f>PRIJZEN!T17</f>
        <v>1.78</v>
      </c>
      <c r="W177" s="317">
        <f t="shared" si="28"/>
        <v>65</v>
      </c>
      <c r="X177" s="315"/>
      <c r="Y177" s="317"/>
      <c r="Z177" s="315"/>
      <c r="AA177" s="597">
        <f t="shared" si="32"/>
        <v>61</v>
      </c>
      <c r="AB177" s="597">
        <f t="shared" si="32"/>
        <v>75</v>
      </c>
      <c r="AC177" s="315"/>
      <c r="AD177" s="206">
        <f t="shared" si="29"/>
        <v>62</v>
      </c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20"/>
      <c r="AR177" s="317"/>
      <c r="AS177" s="319"/>
      <c r="AT177" s="319"/>
      <c r="AU177" s="319"/>
      <c r="AV177" s="319"/>
      <c r="AW177" s="319"/>
      <c r="AX177" s="319"/>
      <c r="AY177" s="319"/>
      <c r="AZ177" s="319"/>
      <c r="BA177" s="319"/>
      <c r="BB177" s="319"/>
      <c r="BC177" s="319"/>
      <c r="BD177" s="319"/>
      <c r="BE177" s="319"/>
      <c r="BF177" s="319"/>
      <c r="BG177" s="319"/>
      <c r="BH177" s="319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</row>
    <row r="178" spans="1:75" ht="15.05" customHeight="1">
      <c r="A178" s="261"/>
      <c r="B178" s="229"/>
      <c r="C178" s="229"/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315"/>
      <c r="O178" s="315"/>
      <c r="P178" s="65" t="s">
        <v>330</v>
      </c>
      <c r="Q178" s="323">
        <f>PRIJZEN!O16</f>
        <v>2.4</v>
      </c>
      <c r="R178" s="315"/>
      <c r="S178" s="65" t="s">
        <v>358</v>
      </c>
      <c r="T178" s="600">
        <f>PRIJZEN!O37</f>
        <v>1.45</v>
      </c>
      <c r="U178" s="65" t="s">
        <v>516</v>
      </c>
      <c r="V178" s="601">
        <f>PRIJZEN!T18</f>
        <v>1.78</v>
      </c>
      <c r="W178" s="317">
        <f t="shared" si="28"/>
        <v>66</v>
      </c>
      <c r="X178" s="315"/>
      <c r="Y178" s="317"/>
      <c r="Z178" s="315"/>
      <c r="AA178" s="597">
        <f t="shared" si="32"/>
        <v>62</v>
      </c>
      <c r="AB178" s="597">
        <f t="shared" si="32"/>
        <v>76</v>
      </c>
      <c r="AC178" s="315"/>
      <c r="AD178" s="206">
        <f t="shared" si="29"/>
        <v>63</v>
      </c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20"/>
      <c r="AR178" s="317"/>
      <c r="AS178" s="319"/>
      <c r="AT178" s="319"/>
      <c r="AU178" s="319"/>
      <c r="AV178" s="319"/>
      <c r="AW178" s="319"/>
      <c r="AX178" s="319"/>
      <c r="AY178" s="319"/>
      <c r="AZ178" s="319"/>
      <c r="BA178" s="319"/>
      <c r="BB178" s="319"/>
      <c r="BC178" s="319"/>
      <c r="BD178" s="319"/>
      <c r="BE178" s="319"/>
      <c r="BF178" s="319"/>
      <c r="BG178" s="319"/>
      <c r="BH178" s="319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</row>
    <row r="179" spans="1:75" ht="15.05" customHeight="1">
      <c r="A179" s="261"/>
      <c r="B179" s="229"/>
      <c r="C179" s="229"/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315"/>
      <c r="O179" s="315"/>
      <c r="P179" s="65" t="s">
        <v>334</v>
      </c>
      <c r="Q179" s="323">
        <f>PRIJZEN!O17</f>
        <v>2.4</v>
      </c>
      <c r="R179" s="315"/>
      <c r="S179" s="65"/>
      <c r="T179" s="600"/>
      <c r="U179" s="65" t="s">
        <v>64</v>
      </c>
      <c r="V179" s="601">
        <f>PRIJZEN!T19</f>
        <v>1.78</v>
      </c>
      <c r="W179" s="317">
        <f t="shared" si="28"/>
        <v>67</v>
      </c>
      <c r="X179" s="315"/>
      <c r="Y179" s="317"/>
      <c r="Z179" s="315"/>
      <c r="AA179" s="597">
        <f t="shared" si="32"/>
        <v>63</v>
      </c>
      <c r="AB179" s="597">
        <f t="shared" si="32"/>
        <v>77</v>
      </c>
      <c r="AC179" s="315"/>
      <c r="AD179" s="206">
        <f t="shared" si="29"/>
        <v>64</v>
      </c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20"/>
      <c r="AR179" s="317"/>
      <c r="AS179" s="319"/>
      <c r="AT179" s="319"/>
      <c r="AU179" s="319"/>
      <c r="AV179" s="319"/>
      <c r="AW179" s="319"/>
      <c r="AX179" s="319"/>
      <c r="AY179" s="319"/>
      <c r="AZ179" s="319"/>
      <c r="BA179" s="319"/>
      <c r="BB179" s="319"/>
      <c r="BC179" s="319"/>
      <c r="BD179" s="319"/>
      <c r="BE179" s="319"/>
      <c r="BF179" s="319"/>
      <c r="BG179" s="319"/>
      <c r="BH179" s="319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</row>
    <row r="180" spans="1:75" ht="15.05" customHeight="1">
      <c r="A180" s="261"/>
      <c r="B180" s="229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315"/>
      <c r="O180" s="315"/>
      <c r="P180" s="65" t="s">
        <v>642</v>
      </c>
      <c r="Q180" s="323">
        <f>PRIJZEN!O18</f>
        <v>1.9</v>
      </c>
      <c r="R180" s="315"/>
      <c r="S180" s="65" t="s">
        <v>359</v>
      </c>
      <c r="T180" s="600">
        <f>PRIJZEN!O39</f>
        <v>1.55</v>
      </c>
      <c r="U180" s="65" t="s">
        <v>713</v>
      </c>
      <c r="V180" s="601">
        <f>PRIJZEN!T20</f>
        <v>1.78</v>
      </c>
      <c r="W180" s="317">
        <f t="shared" si="28"/>
        <v>68</v>
      </c>
      <c r="X180" s="315"/>
      <c r="Y180" s="317"/>
      <c r="Z180" s="315"/>
      <c r="AA180" s="597">
        <f t="shared" si="32"/>
        <v>64</v>
      </c>
      <c r="AB180" s="597">
        <f t="shared" si="32"/>
        <v>78</v>
      </c>
      <c r="AC180" s="315"/>
      <c r="AD180" s="206">
        <f t="shared" si="29"/>
        <v>65</v>
      </c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20"/>
      <c r="AR180" s="317"/>
      <c r="AS180" s="319"/>
      <c r="AT180" s="319"/>
      <c r="AU180" s="319"/>
      <c r="AV180" s="319"/>
      <c r="AW180" s="319"/>
      <c r="AX180" s="319"/>
      <c r="AY180" s="319"/>
      <c r="AZ180" s="319"/>
      <c r="BA180" s="319"/>
      <c r="BB180" s="319"/>
      <c r="BC180" s="319"/>
      <c r="BD180" s="319"/>
      <c r="BE180" s="319"/>
      <c r="BF180" s="319"/>
      <c r="BG180" s="319"/>
      <c r="BH180" s="319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</row>
    <row r="181" spans="1:75" ht="15.05" customHeight="1">
      <c r="A181" s="261"/>
      <c r="B181" s="229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315"/>
      <c r="O181" s="315"/>
      <c r="P181" s="65" t="s">
        <v>336</v>
      </c>
      <c r="Q181" s="323">
        <f>PRIJZEN!O19</f>
        <v>2.5</v>
      </c>
      <c r="R181" s="315"/>
      <c r="S181" s="65" t="s">
        <v>675</v>
      </c>
      <c r="T181" s="600">
        <f>PRIJZEN!O40</f>
        <v>1.45</v>
      </c>
      <c r="U181" s="65" t="s">
        <v>714</v>
      </c>
      <c r="V181" s="601">
        <f>PRIJZEN!T21</f>
        <v>1.78</v>
      </c>
      <c r="W181" s="317">
        <f t="shared" si="28"/>
        <v>69</v>
      </c>
      <c r="X181" s="315"/>
      <c r="Y181" s="317"/>
      <c r="Z181" s="315"/>
      <c r="AA181" s="597">
        <f t="shared" si="32"/>
        <v>65</v>
      </c>
      <c r="AB181" s="597">
        <f t="shared" si="32"/>
        <v>79</v>
      </c>
      <c r="AC181" s="315"/>
      <c r="AD181" s="206">
        <f t="shared" si="29"/>
        <v>66</v>
      </c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20"/>
      <c r="AR181" s="317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</row>
    <row r="182" spans="1:75" ht="15.05" customHeight="1">
      <c r="A182" s="261"/>
      <c r="B182" s="229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315"/>
      <c r="O182" s="315"/>
      <c r="P182" s="65" t="s">
        <v>348</v>
      </c>
      <c r="Q182" s="323">
        <f>PRIJZEN!O20</f>
        <v>2.6</v>
      </c>
      <c r="R182" s="315"/>
      <c r="S182" s="65" t="s">
        <v>676</v>
      </c>
      <c r="T182" s="600">
        <f>PRIJZEN!O41</f>
        <v>1.85</v>
      </c>
      <c r="U182" s="65" t="s">
        <v>71</v>
      </c>
      <c r="V182" s="601">
        <f>PRIJZEN!T22</f>
        <v>1.78</v>
      </c>
      <c r="W182" s="317">
        <f t="shared" si="28"/>
        <v>70</v>
      </c>
      <c r="X182" s="315"/>
      <c r="Y182" s="317"/>
      <c r="Z182" s="315"/>
      <c r="AA182" s="597">
        <f t="shared" si="32"/>
        <v>66</v>
      </c>
      <c r="AB182" s="597">
        <f t="shared" si="32"/>
        <v>80</v>
      </c>
      <c r="AC182" s="315"/>
      <c r="AD182" s="206">
        <f t="shared" si="29"/>
        <v>67</v>
      </c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20"/>
      <c r="AR182" s="317"/>
      <c r="AS182" s="319"/>
      <c r="AT182" s="319"/>
      <c r="AU182" s="319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19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</row>
    <row r="183" spans="1:75" ht="15.05" customHeight="1">
      <c r="A183" s="261"/>
      <c r="B183" s="229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315"/>
      <c r="O183" s="315"/>
      <c r="P183" s="65" t="s">
        <v>638</v>
      </c>
      <c r="Q183" s="323">
        <f>PRIJZEN!O21</f>
        <v>2.35</v>
      </c>
      <c r="R183" s="315"/>
      <c r="S183" s="65" t="s">
        <v>371</v>
      </c>
      <c r="T183" s="600">
        <f>PRIJZEN!O42</f>
        <v>1.45</v>
      </c>
      <c r="U183" s="201" t="s">
        <v>69</v>
      </c>
      <c r="V183" s="601">
        <f>PRIJZEN!T23</f>
        <v>1.78</v>
      </c>
      <c r="W183" s="317">
        <f t="shared" si="28"/>
        <v>71</v>
      </c>
      <c r="X183" s="315"/>
      <c r="Y183" s="317"/>
      <c r="Z183" s="315"/>
      <c r="AA183" s="597">
        <f t="shared" si="32"/>
        <v>67</v>
      </c>
      <c r="AB183" s="597">
        <f t="shared" si="32"/>
        <v>81</v>
      </c>
      <c r="AC183" s="315"/>
      <c r="AD183" s="206">
        <f t="shared" si="29"/>
        <v>68</v>
      </c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20"/>
      <c r="AR183" s="317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319"/>
      <c r="BE183" s="319"/>
      <c r="BF183" s="319"/>
      <c r="BG183" s="319"/>
      <c r="BH183" s="319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</row>
    <row r="184" spans="1:75" ht="15.05" customHeight="1">
      <c r="A184" s="261"/>
      <c r="B184" s="229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315"/>
      <c r="O184" s="315"/>
      <c r="P184" s="65" t="s">
        <v>338</v>
      </c>
      <c r="Q184" s="323">
        <f>PRIJZEN!O22</f>
        <v>1.5</v>
      </c>
      <c r="R184" s="315"/>
      <c r="S184" s="65" t="s">
        <v>634</v>
      </c>
      <c r="T184" s="600">
        <f>PRIJZEN!O43</f>
        <v>1.45</v>
      </c>
      <c r="U184" s="602" t="s">
        <v>70</v>
      </c>
      <c r="V184" s="601">
        <f>PRIJZEN!T24</f>
        <v>1.78</v>
      </c>
      <c r="W184" s="317">
        <f t="shared" si="28"/>
        <v>72</v>
      </c>
      <c r="X184" s="315"/>
      <c r="Y184" s="317"/>
      <c r="Z184" s="315"/>
      <c r="AA184" s="597">
        <f t="shared" si="32"/>
        <v>68</v>
      </c>
      <c r="AB184" s="597">
        <f t="shared" si="32"/>
        <v>82</v>
      </c>
      <c r="AC184" s="315"/>
      <c r="AD184" s="206">
        <f t="shared" si="29"/>
        <v>69</v>
      </c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20"/>
      <c r="AR184" s="317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</row>
    <row r="185" spans="1:75" ht="15.05" customHeight="1">
      <c r="A185" s="261"/>
      <c r="B185" s="229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315"/>
      <c r="O185" s="315"/>
      <c r="P185" s="65" t="s">
        <v>637</v>
      </c>
      <c r="Q185" s="323">
        <f>PRIJZEN!O23</f>
        <v>2.15</v>
      </c>
      <c r="R185" s="315"/>
      <c r="S185" s="65" t="s">
        <v>400</v>
      </c>
      <c r="T185" s="600">
        <f>PRIJZEN!O44</f>
        <v>1.45</v>
      </c>
      <c r="U185" s="602" t="s">
        <v>72</v>
      </c>
      <c r="V185" s="601">
        <f>PRIJZEN!T25</f>
        <v>1.78</v>
      </c>
      <c r="W185" s="317">
        <f t="shared" ref="W185:W232" si="33">SUM(W184+1)</f>
        <v>73</v>
      </c>
      <c r="X185" s="315"/>
      <c r="Y185" s="317"/>
      <c r="Z185" s="315"/>
      <c r="AA185" s="597">
        <f t="shared" si="32"/>
        <v>69</v>
      </c>
      <c r="AB185" s="597">
        <f t="shared" si="32"/>
        <v>83</v>
      </c>
      <c r="AC185" s="315"/>
      <c r="AD185" s="206">
        <f t="shared" ref="AD185:AD196" si="34">SUM(AD184+1)</f>
        <v>70</v>
      </c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20"/>
      <c r="AR185" s="317"/>
      <c r="AS185" s="319"/>
      <c r="AT185" s="319"/>
      <c r="AU185" s="319"/>
      <c r="AV185" s="319"/>
      <c r="AW185" s="319"/>
      <c r="AX185" s="319"/>
      <c r="AY185" s="319"/>
      <c r="AZ185" s="319"/>
      <c r="BA185" s="319"/>
      <c r="BB185" s="319"/>
      <c r="BC185" s="319"/>
      <c r="BD185" s="319"/>
      <c r="BE185" s="319"/>
      <c r="BF185" s="319"/>
      <c r="BG185" s="319"/>
      <c r="BH185" s="319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</row>
    <row r="186" spans="1:75" ht="15.05" customHeight="1">
      <c r="A186" s="261"/>
      <c r="B186" s="229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315"/>
      <c r="O186" s="315"/>
      <c r="P186" s="65" t="s">
        <v>640</v>
      </c>
      <c r="Q186" s="323">
        <f>PRIJZEN!O24</f>
        <v>2.15</v>
      </c>
      <c r="R186" s="315"/>
      <c r="S186" s="65"/>
      <c r="T186" s="201"/>
      <c r="U186" s="602" t="s">
        <v>715</v>
      </c>
      <c r="V186" s="601">
        <f>PRIJZEN!T26</f>
        <v>1.78</v>
      </c>
      <c r="W186" s="317">
        <f t="shared" si="33"/>
        <v>74</v>
      </c>
      <c r="X186" s="315"/>
      <c r="Y186" s="317"/>
      <c r="Z186" s="315"/>
      <c r="AA186" s="597">
        <f t="shared" si="32"/>
        <v>70</v>
      </c>
      <c r="AB186" s="597">
        <f t="shared" si="32"/>
        <v>84</v>
      </c>
      <c r="AC186" s="315"/>
      <c r="AD186" s="206">
        <f t="shared" si="34"/>
        <v>71</v>
      </c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20"/>
      <c r="AR186" s="317"/>
      <c r="AS186" s="319"/>
      <c r="AT186" s="319"/>
      <c r="AU186" s="319"/>
      <c r="AV186" s="319"/>
      <c r="AW186" s="319"/>
      <c r="AX186" s="319"/>
      <c r="AY186" s="319"/>
      <c r="AZ186" s="319"/>
      <c r="BA186" s="319"/>
      <c r="BB186" s="319"/>
      <c r="BC186" s="319"/>
      <c r="BD186" s="319"/>
      <c r="BE186" s="319"/>
      <c r="BF186" s="319"/>
      <c r="BG186" s="319"/>
      <c r="BH186" s="319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</row>
    <row r="187" spans="1:75" ht="15.05" customHeight="1">
      <c r="A187" s="261"/>
      <c r="B187" s="229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315"/>
      <c r="O187" s="315"/>
      <c r="P187" s="65" t="s">
        <v>344</v>
      </c>
      <c r="Q187" s="323">
        <f>PRIJZEN!O25</f>
        <v>2.15</v>
      </c>
      <c r="R187" s="315"/>
      <c r="S187" s="315"/>
      <c r="T187" s="315"/>
      <c r="U187" s="602" t="s">
        <v>716</v>
      </c>
      <c r="V187" s="601">
        <f>PRIJZEN!T27</f>
        <v>1.78</v>
      </c>
      <c r="W187" s="317">
        <f t="shared" si="33"/>
        <v>75</v>
      </c>
      <c r="X187" s="315"/>
      <c r="Y187" s="317"/>
      <c r="Z187" s="315"/>
      <c r="AA187" s="597">
        <f t="shared" si="32"/>
        <v>71</v>
      </c>
      <c r="AB187" s="597">
        <f t="shared" si="32"/>
        <v>85</v>
      </c>
      <c r="AC187" s="315"/>
      <c r="AD187" s="206">
        <f t="shared" si="34"/>
        <v>72</v>
      </c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20"/>
      <c r="AR187" s="317"/>
      <c r="AS187" s="319"/>
      <c r="AT187" s="319"/>
      <c r="AU187" s="319"/>
      <c r="AV187" s="319"/>
      <c r="AW187" s="319"/>
      <c r="AX187" s="319"/>
      <c r="AY187" s="319"/>
      <c r="AZ187" s="319"/>
      <c r="BA187" s="319"/>
      <c r="BB187" s="319"/>
      <c r="BC187" s="319"/>
      <c r="BD187" s="319"/>
      <c r="BE187" s="319"/>
      <c r="BF187" s="319"/>
      <c r="BG187" s="319"/>
      <c r="BH187" s="319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</row>
    <row r="188" spans="1:75" ht="15.05" customHeight="1">
      <c r="A188" s="261"/>
      <c r="B188" s="229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315"/>
      <c r="O188" s="315"/>
      <c r="P188" s="65" t="s">
        <v>347</v>
      </c>
      <c r="Q188" s="323">
        <f>PRIJZEN!O26</f>
        <v>2.15</v>
      </c>
      <c r="R188" s="315"/>
      <c r="S188" s="315"/>
      <c r="T188" s="315"/>
      <c r="U188" s="602" t="s">
        <v>717</v>
      </c>
      <c r="V188" s="601">
        <f>PRIJZEN!T28</f>
        <v>1.78</v>
      </c>
      <c r="W188" s="317">
        <f t="shared" si="33"/>
        <v>76</v>
      </c>
      <c r="X188" s="315"/>
      <c r="Y188" s="317"/>
      <c r="Z188" s="315"/>
      <c r="AA188" s="597">
        <f t="shared" si="32"/>
        <v>72</v>
      </c>
      <c r="AB188" s="597">
        <f t="shared" si="32"/>
        <v>86</v>
      </c>
      <c r="AC188" s="315"/>
      <c r="AD188" s="206">
        <f t="shared" si="34"/>
        <v>73</v>
      </c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20"/>
      <c r="AR188" s="317"/>
      <c r="AS188" s="319"/>
      <c r="AT188" s="319"/>
      <c r="AU188" s="319"/>
      <c r="AV188" s="319"/>
      <c r="AW188" s="319"/>
      <c r="AX188" s="319"/>
      <c r="AY188" s="319"/>
      <c r="AZ188" s="319"/>
      <c r="BA188" s="319"/>
      <c r="BB188" s="319"/>
      <c r="BC188" s="319"/>
      <c r="BD188" s="319"/>
      <c r="BE188" s="319"/>
      <c r="BF188" s="319"/>
      <c r="BG188" s="319"/>
      <c r="BH188" s="319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</row>
    <row r="189" spans="1:75" ht="15.05" customHeight="1">
      <c r="A189" s="261"/>
      <c r="B189" s="229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315"/>
      <c r="O189" s="315"/>
      <c r="P189" s="65" t="s">
        <v>639</v>
      </c>
      <c r="Q189" s="323">
        <f>PRIJZEN!O27</f>
        <v>2.6</v>
      </c>
      <c r="R189" s="315"/>
      <c r="S189" s="219"/>
      <c r="T189" s="315"/>
      <c r="U189" s="602" t="s">
        <v>718</v>
      </c>
      <c r="V189" s="601">
        <f>PRIJZEN!T29</f>
        <v>1.78</v>
      </c>
      <c r="W189" s="317">
        <f t="shared" si="33"/>
        <v>77</v>
      </c>
      <c r="X189" s="315"/>
      <c r="Y189" s="317"/>
      <c r="Z189" s="315"/>
      <c r="AA189" s="597">
        <f t="shared" si="32"/>
        <v>73</v>
      </c>
      <c r="AB189" s="597">
        <f t="shared" si="32"/>
        <v>87</v>
      </c>
      <c r="AC189" s="315"/>
      <c r="AD189" s="206">
        <f t="shared" si="34"/>
        <v>74</v>
      </c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20"/>
      <c r="AR189" s="317"/>
      <c r="AS189" s="319"/>
      <c r="AT189" s="319"/>
      <c r="AU189" s="319"/>
      <c r="AV189" s="319"/>
      <c r="AW189" s="319"/>
      <c r="AX189" s="319"/>
      <c r="AY189" s="319"/>
      <c r="AZ189" s="319"/>
      <c r="BA189" s="319"/>
      <c r="BB189" s="319"/>
      <c r="BC189" s="319"/>
      <c r="BD189" s="319"/>
      <c r="BE189" s="319"/>
      <c r="BF189" s="319"/>
      <c r="BG189" s="319"/>
      <c r="BH189" s="319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</row>
    <row r="190" spans="1:75" ht="15.05" customHeight="1">
      <c r="A190" s="261"/>
      <c r="B190" s="229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315"/>
      <c r="O190" s="315"/>
      <c r="P190" s="65" t="s">
        <v>360</v>
      </c>
      <c r="Q190" s="323">
        <f>PRIJZEN!O28</f>
        <v>3.95</v>
      </c>
      <c r="R190" s="315"/>
      <c r="S190" s="65"/>
      <c r="T190" s="315"/>
      <c r="U190" s="602" t="s">
        <v>719</v>
      </c>
      <c r="V190" s="601">
        <f>PRIJZEN!T30</f>
        <v>1.78</v>
      </c>
      <c r="W190" s="317">
        <f t="shared" si="33"/>
        <v>78</v>
      </c>
      <c r="X190" s="315"/>
      <c r="Y190" s="317"/>
      <c r="Z190" s="315"/>
      <c r="AA190" s="597">
        <f t="shared" si="32"/>
        <v>74</v>
      </c>
      <c r="AB190" s="597">
        <f t="shared" si="32"/>
        <v>88</v>
      </c>
      <c r="AC190" s="315"/>
      <c r="AD190" s="206">
        <f t="shared" si="34"/>
        <v>75</v>
      </c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20"/>
      <c r="AR190" s="317"/>
      <c r="AS190" s="319"/>
      <c r="AT190" s="319"/>
      <c r="AU190" s="319"/>
      <c r="AV190" s="319"/>
      <c r="AW190" s="319"/>
      <c r="AX190" s="319"/>
      <c r="AY190" s="319"/>
      <c r="AZ190" s="319"/>
      <c r="BA190" s="319"/>
      <c r="BB190" s="319"/>
      <c r="BC190" s="319"/>
      <c r="BD190" s="319"/>
      <c r="BE190" s="319"/>
      <c r="BF190" s="319"/>
      <c r="BG190" s="319"/>
      <c r="BH190" s="319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</row>
    <row r="191" spans="1:75" ht="15.05" customHeight="1">
      <c r="A191" s="261"/>
      <c r="B191" s="229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315"/>
      <c r="O191" s="315"/>
      <c r="P191" s="65" t="s">
        <v>361</v>
      </c>
      <c r="Q191" s="323">
        <f>PRIJZEN!O29</f>
        <v>3.95</v>
      </c>
      <c r="R191" s="315"/>
      <c r="S191" s="388"/>
      <c r="T191" s="603"/>
      <c r="U191" s="602" t="s">
        <v>903</v>
      </c>
      <c r="V191" s="601">
        <f>PRIJZEN!T31</f>
        <v>1.78</v>
      </c>
      <c r="W191" s="317">
        <f t="shared" si="33"/>
        <v>79</v>
      </c>
      <c r="X191" s="315"/>
      <c r="Y191" s="317"/>
      <c r="Z191" s="315"/>
      <c r="AA191" s="597">
        <f t="shared" si="32"/>
        <v>75</v>
      </c>
      <c r="AB191" s="597">
        <f t="shared" si="32"/>
        <v>89</v>
      </c>
      <c r="AC191" s="315"/>
      <c r="AD191" s="206">
        <f t="shared" si="34"/>
        <v>76</v>
      </c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20"/>
      <c r="AR191" s="317"/>
      <c r="AS191" s="319"/>
      <c r="AT191" s="319"/>
      <c r="AU191" s="319"/>
      <c r="AV191" s="319"/>
      <c r="AW191" s="319"/>
      <c r="AX191" s="319"/>
      <c r="AY191" s="319"/>
      <c r="AZ191" s="319"/>
      <c r="BA191" s="319"/>
      <c r="BB191" s="319"/>
      <c r="BC191" s="319"/>
      <c r="BD191" s="319"/>
      <c r="BE191" s="319"/>
      <c r="BF191" s="319"/>
      <c r="BG191" s="319"/>
      <c r="BH191" s="319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</row>
    <row r="192" spans="1:75" ht="15.05" customHeight="1">
      <c r="A192" s="261"/>
      <c r="B192" s="229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315"/>
      <c r="O192" s="315"/>
      <c r="P192" s="65" t="s">
        <v>362</v>
      </c>
      <c r="Q192" s="323">
        <f>PRIJZEN!O30</f>
        <v>3.95</v>
      </c>
      <c r="R192" s="315"/>
      <c r="S192" s="388"/>
      <c r="T192" s="603"/>
      <c r="U192" s="602" t="s">
        <v>68</v>
      </c>
      <c r="V192" s="601">
        <f>PRIJZEN!T32</f>
        <v>1.78</v>
      </c>
      <c r="W192" s="317">
        <f t="shared" si="33"/>
        <v>80</v>
      </c>
      <c r="X192" s="315"/>
      <c r="Y192" s="317"/>
      <c r="Z192" s="315"/>
      <c r="AA192" s="597">
        <f t="shared" si="32"/>
        <v>76</v>
      </c>
      <c r="AB192" s="597">
        <f t="shared" si="32"/>
        <v>90</v>
      </c>
      <c r="AC192" s="315"/>
      <c r="AD192" s="206">
        <f t="shared" si="34"/>
        <v>77</v>
      </c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20"/>
      <c r="AR192" s="317"/>
      <c r="AS192" s="319"/>
      <c r="AT192" s="319"/>
      <c r="AU192" s="319"/>
      <c r="AV192" s="319"/>
      <c r="AW192" s="319"/>
      <c r="AX192" s="319"/>
      <c r="AY192" s="319"/>
      <c r="AZ192" s="319"/>
      <c r="BA192" s="319"/>
      <c r="BB192" s="319"/>
      <c r="BC192" s="319"/>
      <c r="BD192" s="319"/>
      <c r="BE192" s="319"/>
      <c r="BF192" s="319"/>
      <c r="BG192" s="319"/>
      <c r="BH192" s="319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</row>
    <row r="193" spans="1:75" ht="15.05" customHeight="1">
      <c r="A193" s="261"/>
      <c r="B193" s="229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315"/>
      <c r="O193" s="315"/>
      <c r="P193" s="65" t="s">
        <v>366</v>
      </c>
      <c r="Q193" s="323">
        <f>PRIJZEN!O31</f>
        <v>3.5</v>
      </c>
      <c r="R193" s="315"/>
      <c r="S193" s="388"/>
      <c r="T193" s="603"/>
      <c r="U193" s="602" t="s">
        <v>721</v>
      </c>
      <c r="V193" s="601">
        <f>PRIJZEN!T33</f>
        <v>1.78</v>
      </c>
      <c r="W193" s="317">
        <f t="shared" si="33"/>
        <v>81</v>
      </c>
      <c r="X193" s="315"/>
      <c r="Y193" s="317"/>
      <c r="Z193" s="315"/>
      <c r="AA193" s="597">
        <f t="shared" si="32"/>
        <v>77</v>
      </c>
      <c r="AB193" s="597">
        <f t="shared" si="32"/>
        <v>91</v>
      </c>
      <c r="AC193" s="315"/>
      <c r="AD193" s="206">
        <f t="shared" si="34"/>
        <v>78</v>
      </c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20"/>
      <c r="AR193" s="317"/>
      <c r="AS193" s="319"/>
      <c r="AT193" s="319"/>
      <c r="AU193" s="319"/>
      <c r="AV193" s="319"/>
      <c r="AW193" s="319"/>
      <c r="AX193" s="319"/>
      <c r="AY193" s="319"/>
      <c r="AZ193" s="319"/>
      <c r="BA193" s="319"/>
      <c r="BB193" s="319"/>
      <c r="BC193" s="319"/>
      <c r="BD193" s="319"/>
      <c r="BE193" s="319"/>
      <c r="BF193" s="319"/>
      <c r="BG193" s="319"/>
      <c r="BH193" s="319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</row>
    <row r="194" spans="1:75" ht="15.05" customHeight="1">
      <c r="A194" s="261"/>
      <c r="B194" s="229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315"/>
      <c r="O194" s="315"/>
      <c r="P194" s="65" t="s">
        <v>518</v>
      </c>
      <c r="Q194" s="323">
        <f>PRIJZEN!O32</f>
        <v>3.95</v>
      </c>
      <c r="R194" s="315"/>
      <c r="S194" s="388"/>
      <c r="T194" s="603"/>
      <c r="U194" s="602" t="s">
        <v>722</v>
      </c>
      <c r="V194" s="601">
        <f>PRIJZEN!T34</f>
        <v>1.78</v>
      </c>
      <c r="W194" s="317">
        <f t="shared" si="33"/>
        <v>82</v>
      </c>
      <c r="X194" s="315"/>
      <c r="Y194" s="317"/>
      <c r="Z194" s="315"/>
      <c r="AA194" s="597">
        <f t="shared" si="32"/>
        <v>78</v>
      </c>
      <c r="AB194" s="597">
        <f t="shared" si="32"/>
        <v>92</v>
      </c>
      <c r="AC194" s="315"/>
      <c r="AD194" s="206">
        <f t="shared" si="34"/>
        <v>79</v>
      </c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20"/>
      <c r="AR194" s="317"/>
      <c r="AS194" s="319"/>
      <c r="AT194" s="319"/>
      <c r="AU194" s="319"/>
      <c r="AV194" s="319"/>
      <c r="AW194" s="319"/>
      <c r="AX194" s="319"/>
      <c r="AY194" s="319"/>
      <c r="AZ194" s="319"/>
      <c r="BA194" s="319"/>
      <c r="BB194" s="319"/>
      <c r="BC194" s="319"/>
      <c r="BD194" s="319"/>
      <c r="BE194" s="319"/>
      <c r="BF194" s="319"/>
      <c r="BG194" s="319"/>
      <c r="BH194" s="319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</row>
    <row r="195" spans="1:75" ht="15.05" customHeight="1">
      <c r="A195" s="261"/>
      <c r="B195" s="229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315"/>
      <c r="O195" s="315"/>
      <c r="P195" s="65"/>
      <c r="Q195" s="323"/>
      <c r="R195" s="315"/>
      <c r="S195" s="388"/>
      <c r="T195" s="603"/>
      <c r="U195" s="315"/>
      <c r="V195" s="315"/>
      <c r="W195" s="317">
        <f t="shared" si="33"/>
        <v>83</v>
      </c>
      <c r="X195" s="315"/>
      <c r="Y195" s="317"/>
      <c r="Z195" s="315"/>
      <c r="AA195" s="597">
        <f t="shared" si="32"/>
        <v>79</v>
      </c>
      <c r="AB195" s="597">
        <f t="shared" si="32"/>
        <v>93</v>
      </c>
      <c r="AC195" s="315"/>
      <c r="AD195" s="206">
        <f t="shared" si="34"/>
        <v>80</v>
      </c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20"/>
      <c r="AR195" s="317"/>
      <c r="AS195" s="319"/>
      <c r="AT195" s="319"/>
      <c r="AU195" s="319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19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</row>
    <row r="196" spans="1:75" ht="15.05" customHeight="1">
      <c r="A196" s="261"/>
      <c r="B196" s="229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315"/>
      <c r="O196" s="315"/>
      <c r="P196" s="65"/>
      <c r="Q196" s="323"/>
      <c r="R196" s="315"/>
      <c r="S196" s="388"/>
      <c r="T196" s="603"/>
      <c r="U196" s="315"/>
      <c r="V196" s="315"/>
      <c r="W196" s="317">
        <f t="shared" si="33"/>
        <v>84</v>
      </c>
      <c r="X196" s="315"/>
      <c r="Y196" s="317"/>
      <c r="Z196" s="315"/>
      <c r="AA196" s="597">
        <f t="shared" si="32"/>
        <v>80</v>
      </c>
      <c r="AB196" s="597">
        <f t="shared" si="32"/>
        <v>94</v>
      </c>
      <c r="AC196" s="315"/>
      <c r="AD196" s="206">
        <f t="shared" si="34"/>
        <v>81</v>
      </c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20"/>
      <c r="AR196" s="317"/>
      <c r="AS196" s="319"/>
      <c r="AT196" s="319"/>
      <c r="AU196" s="319"/>
      <c r="AV196" s="319"/>
      <c r="AW196" s="319"/>
      <c r="AX196" s="319"/>
      <c r="AY196" s="319"/>
      <c r="AZ196" s="319"/>
      <c r="BA196" s="319"/>
      <c r="BB196" s="319"/>
      <c r="BC196" s="319"/>
      <c r="BD196" s="319"/>
      <c r="BE196" s="319"/>
      <c r="BF196" s="319"/>
      <c r="BG196" s="319"/>
      <c r="BH196" s="319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</row>
    <row r="197" spans="1:75" ht="15.05" customHeight="1">
      <c r="A197" s="261"/>
      <c r="B197" s="229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315"/>
      <c r="O197" s="315"/>
      <c r="P197" s="65"/>
      <c r="Q197" s="323"/>
      <c r="R197" s="315"/>
      <c r="S197" s="388"/>
      <c r="T197" s="603"/>
      <c r="U197" s="315"/>
      <c r="V197" s="315"/>
      <c r="W197" s="317">
        <f t="shared" si="33"/>
        <v>85</v>
      </c>
      <c r="X197" s="315"/>
      <c r="Y197" s="317"/>
      <c r="Z197" s="315"/>
      <c r="AA197" s="597">
        <f t="shared" si="32"/>
        <v>81</v>
      </c>
      <c r="AB197" s="597">
        <f t="shared" si="32"/>
        <v>95</v>
      </c>
      <c r="AC197" s="315"/>
      <c r="AD197" s="206">
        <f t="shared" ref="AD197:AD235" si="35">SUM(AD196+1)</f>
        <v>82</v>
      </c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20"/>
      <c r="AR197" s="317"/>
      <c r="AS197" s="319"/>
      <c r="AT197" s="319"/>
      <c r="AU197" s="319"/>
      <c r="AV197" s="319"/>
      <c r="AW197" s="319"/>
      <c r="AX197" s="319"/>
      <c r="AY197" s="319"/>
      <c r="AZ197" s="319"/>
      <c r="BA197" s="319"/>
      <c r="BB197" s="319"/>
      <c r="BC197" s="319"/>
      <c r="BD197" s="319"/>
      <c r="BE197" s="319"/>
      <c r="BF197" s="319"/>
      <c r="BG197" s="319"/>
      <c r="BH197" s="319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</row>
    <row r="198" spans="1:75" ht="15.05" customHeight="1">
      <c r="A198" s="261"/>
      <c r="B198" s="229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315"/>
      <c r="O198" s="315"/>
      <c r="P198" s="211"/>
      <c r="Q198" s="323"/>
      <c r="R198" s="315"/>
      <c r="S198" s="315"/>
      <c r="T198" s="603"/>
      <c r="U198" s="315"/>
      <c r="V198" s="315"/>
      <c r="W198" s="317">
        <f t="shared" si="33"/>
        <v>86</v>
      </c>
      <c r="X198" s="315"/>
      <c r="Y198" s="317"/>
      <c r="Z198" s="315"/>
      <c r="AA198" s="597">
        <f t="shared" si="32"/>
        <v>82</v>
      </c>
      <c r="AB198" s="597">
        <f t="shared" si="32"/>
        <v>96</v>
      </c>
      <c r="AC198" s="315"/>
      <c r="AD198" s="206">
        <f t="shared" si="35"/>
        <v>83</v>
      </c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20"/>
      <c r="AR198" s="317"/>
      <c r="AS198" s="319"/>
      <c r="AT198" s="319"/>
      <c r="AU198" s="319"/>
      <c r="AV198" s="319"/>
      <c r="AW198" s="319"/>
      <c r="AX198" s="319"/>
      <c r="AY198" s="319"/>
      <c r="AZ198" s="319"/>
      <c r="BA198" s="319"/>
      <c r="BB198" s="319"/>
      <c r="BC198" s="319"/>
      <c r="BD198" s="319"/>
      <c r="BE198" s="319"/>
      <c r="BF198" s="319"/>
      <c r="BG198" s="319"/>
      <c r="BH198" s="319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</row>
    <row r="199" spans="1:75" ht="15.05" customHeight="1">
      <c r="A199" s="261"/>
      <c r="B199" s="229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315"/>
      <c r="O199" s="315"/>
      <c r="P199" s="211"/>
      <c r="Q199" s="323"/>
      <c r="R199" s="315"/>
      <c r="S199" s="315"/>
      <c r="T199" s="603"/>
      <c r="U199" s="315"/>
      <c r="V199" s="315"/>
      <c r="W199" s="317">
        <f t="shared" si="33"/>
        <v>87</v>
      </c>
      <c r="X199" s="315"/>
      <c r="Y199" s="317"/>
      <c r="Z199" s="315"/>
      <c r="AA199" s="597">
        <f t="shared" si="32"/>
        <v>83</v>
      </c>
      <c r="AB199" s="597">
        <f t="shared" si="32"/>
        <v>97</v>
      </c>
      <c r="AC199" s="315"/>
      <c r="AD199" s="206">
        <f t="shared" si="35"/>
        <v>84</v>
      </c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20"/>
      <c r="AR199" s="317"/>
      <c r="AS199" s="319"/>
      <c r="AT199" s="319"/>
      <c r="AU199" s="319"/>
      <c r="AV199" s="319"/>
      <c r="AW199" s="319"/>
      <c r="AX199" s="319"/>
      <c r="AY199" s="319"/>
      <c r="AZ199" s="319"/>
      <c r="BA199" s="319"/>
      <c r="BB199" s="319"/>
      <c r="BC199" s="319"/>
      <c r="BD199" s="319"/>
      <c r="BE199" s="319"/>
      <c r="BF199" s="319"/>
      <c r="BG199" s="319"/>
      <c r="BH199" s="319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</row>
    <row r="200" spans="1:75" ht="15.05" customHeight="1">
      <c r="A200" s="261"/>
      <c r="B200" s="229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315"/>
      <c r="O200" s="315"/>
      <c r="P200" s="315"/>
      <c r="Q200" s="315"/>
      <c r="R200" s="315"/>
      <c r="S200" s="315"/>
      <c r="T200" s="315"/>
      <c r="U200" s="315"/>
      <c r="V200" s="315"/>
      <c r="W200" s="317">
        <f t="shared" si="33"/>
        <v>88</v>
      </c>
      <c r="X200" s="315"/>
      <c r="Y200" s="317"/>
      <c r="Z200" s="315"/>
      <c r="AA200" s="597">
        <f t="shared" si="32"/>
        <v>84</v>
      </c>
      <c r="AB200" s="597">
        <f t="shared" si="32"/>
        <v>98</v>
      </c>
      <c r="AC200" s="315"/>
      <c r="AD200" s="206">
        <f t="shared" si="35"/>
        <v>85</v>
      </c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20"/>
      <c r="AR200" s="317"/>
      <c r="AS200" s="319"/>
      <c r="AT200" s="319"/>
      <c r="AU200" s="319"/>
      <c r="AV200" s="319"/>
      <c r="AW200" s="319"/>
      <c r="AX200" s="319"/>
      <c r="AY200" s="319"/>
      <c r="AZ200" s="319"/>
      <c r="BA200" s="319"/>
      <c r="BB200" s="319"/>
      <c r="BC200" s="319"/>
      <c r="BD200" s="319"/>
      <c r="BE200" s="319"/>
      <c r="BF200" s="319"/>
      <c r="BG200" s="319"/>
      <c r="BH200" s="319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</row>
    <row r="201" spans="1:75" ht="15.05" customHeight="1">
      <c r="A201" s="261"/>
      <c r="B201" s="229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315"/>
      <c r="O201" s="315"/>
      <c r="P201" s="315"/>
      <c r="Q201" s="315"/>
      <c r="R201" s="315"/>
      <c r="S201" s="315"/>
      <c r="T201" s="315"/>
      <c r="U201" s="315"/>
      <c r="V201" s="315"/>
      <c r="W201" s="317">
        <f t="shared" si="33"/>
        <v>89</v>
      </c>
      <c r="X201" s="315"/>
      <c r="Y201" s="317"/>
      <c r="Z201" s="315"/>
      <c r="AA201" s="597">
        <f t="shared" si="32"/>
        <v>85</v>
      </c>
      <c r="AB201" s="597">
        <f t="shared" si="32"/>
        <v>99</v>
      </c>
      <c r="AC201" s="315"/>
      <c r="AD201" s="206">
        <f t="shared" si="35"/>
        <v>86</v>
      </c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20"/>
      <c r="AR201" s="317"/>
      <c r="AS201" s="319"/>
      <c r="AT201" s="319"/>
      <c r="AU201" s="319"/>
      <c r="AV201" s="319"/>
      <c r="AW201" s="319"/>
      <c r="AX201" s="319"/>
      <c r="AY201" s="319"/>
      <c r="AZ201" s="319"/>
      <c r="BA201" s="319"/>
      <c r="BB201" s="319"/>
      <c r="BC201" s="319"/>
      <c r="BD201" s="319"/>
      <c r="BE201" s="319"/>
      <c r="BF201" s="319"/>
      <c r="BG201" s="319"/>
      <c r="BH201" s="319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</row>
    <row r="202" spans="1:75" ht="15.05" customHeight="1">
      <c r="A202" s="261"/>
      <c r="B202" s="229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315"/>
      <c r="O202" s="315"/>
      <c r="P202" s="315"/>
      <c r="Q202" s="315"/>
      <c r="R202" s="315"/>
      <c r="S202" s="315"/>
      <c r="T202" s="315"/>
      <c r="U202" s="315"/>
      <c r="V202" s="315"/>
      <c r="W202" s="317">
        <f t="shared" si="33"/>
        <v>90</v>
      </c>
      <c r="X202" s="315"/>
      <c r="Y202" s="317"/>
      <c r="Z202" s="315"/>
      <c r="AA202" s="597">
        <f t="shared" si="32"/>
        <v>86</v>
      </c>
      <c r="AB202" s="597">
        <f t="shared" si="32"/>
        <v>100</v>
      </c>
      <c r="AC202" s="315"/>
      <c r="AD202" s="206">
        <f t="shared" si="35"/>
        <v>87</v>
      </c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20"/>
      <c r="AR202" s="317"/>
      <c r="AS202" s="319"/>
      <c r="AT202" s="319"/>
      <c r="AU202" s="319"/>
      <c r="AV202" s="319"/>
      <c r="AW202" s="319"/>
      <c r="AX202" s="319"/>
      <c r="AY202" s="319"/>
      <c r="AZ202" s="319"/>
      <c r="BA202" s="319"/>
      <c r="BB202" s="319"/>
      <c r="BC202" s="319"/>
      <c r="BD202" s="319"/>
      <c r="BE202" s="319"/>
      <c r="BF202" s="319"/>
      <c r="BG202" s="319"/>
      <c r="BH202" s="319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</row>
    <row r="203" spans="1:75" ht="15.05" customHeight="1">
      <c r="A203" s="261"/>
      <c r="B203" s="229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315"/>
      <c r="O203" s="315"/>
      <c r="P203" s="322" t="s">
        <v>402</v>
      </c>
      <c r="Q203" s="322" t="s">
        <v>402</v>
      </c>
      <c r="R203" s="322" t="s">
        <v>403</v>
      </c>
      <c r="S203" s="315"/>
      <c r="T203" s="219"/>
      <c r="U203" s="315"/>
      <c r="V203" s="315"/>
      <c r="W203" s="317">
        <f t="shared" si="33"/>
        <v>91</v>
      </c>
      <c r="X203" s="315"/>
      <c r="Y203" s="317"/>
      <c r="Z203" s="315"/>
      <c r="AA203" s="597">
        <f t="shared" si="32"/>
        <v>87</v>
      </c>
      <c r="AB203" s="597"/>
      <c r="AC203" s="315"/>
      <c r="AD203" s="206">
        <f t="shared" si="35"/>
        <v>88</v>
      </c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20"/>
      <c r="AR203" s="317"/>
      <c r="AS203" s="319"/>
      <c r="AT203" s="319"/>
      <c r="AU203" s="319"/>
      <c r="AV203" s="319"/>
      <c r="AW203" s="319"/>
      <c r="AX203" s="319"/>
      <c r="AY203" s="319"/>
      <c r="AZ203" s="319"/>
      <c r="BA203" s="319"/>
      <c r="BB203" s="319"/>
      <c r="BC203" s="319"/>
      <c r="BD203" s="319"/>
      <c r="BE203" s="319"/>
      <c r="BF203" s="319"/>
      <c r="BG203" s="319"/>
      <c r="BH203" s="319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</row>
    <row r="204" spans="1:75" ht="15.05" customHeight="1">
      <c r="A204" s="261"/>
      <c r="B204" s="229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315"/>
      <c r="O204" s="315"/>
      <c r="P204" s="65"/>
      <c r="Q204" s="65"/>
      <c r="R204" s="206"/>
      <c r="S204" s="315"/>
      <c r="T204" s="219" t="s">
        <v>405</v>
      </c>
      <c r="U204" s="315"/>
      <c r="V204" s="315"/>
      <c r="W204" s="317">
        <f t="shared" si="33"/>
        <v>92</v>
      </c>
      <c r="X204" s="315"/>
      <c r="Y204" s="317"/>
      <c r="Z204" s="315"/>
      <c r="AA204" s="597">
        <f t="shared" si="32"/>
        <v>88</v>
      </c>
      <c r="AB204" s="597"/>
      <c r="AC204" s="315"/>
      <c r="AD204" s="206">
        <f t="shared" si="35"/>
        <v>89</v>
      </c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20"/>
      <c r="AR204" s="317"/>
      <c r="AS204" s="319"/>
      <c r="AT204" s="319"/>
      <c r="AU204" s="319"/>
      <c r="AV204" s="319"/>
      <c r="AW204" s="319"/>
      <c r="AX204" s="319"/>
      <c r="AY204" s="319"/>
      <c r="AZ204" s="319"/>
      <c r="BA204" s="319"/>
      <c r="BB204" s="319"/>
      <c r="BC204" s="319"/>
      <c r="BD204" s="319"/>
      <c r="BE204" s="319"/>
      <c r="BF204" s="319"/>
      <c r="BG204" s="319"/>
      <c r="BH204" s="319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</row>
    <row r="205" spans="1:75" ht="15.05" customHeight="1">
      <c r="A205" s="261"/>
      <c r="B205" s="229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315"/>
      <c r="O205" s="315"/>
      <c r="P205" s="389">
        <v>300</v>
      </c>
      <c r="Q205" s="390">
        <v>150</v>
      </c>
      <c r="R205" s="206">
        <v>1</v>
      </c>
      <c r="S205" s="315"/>
      <c r="T205" s="65"/>
      <c r="U205" s="315"/>
      <c r="V205" s="315"/>
      <c r="W205" s="317">
        <f t="shared" si="33"/>
        <v>93</v>
      </c>
      <c r="X205" s="315"/>
      <c r="Y205" s="317"/>
      <c r="Z205" s="315"/>
      <c r="AA205" s="597">
        <f t="shared" si="32"/>
        <v>89</v>
      </c>
      <c r="AB205" s="597"/>
      <c r="AC205" s="315"/>
      <c r="AD205" s="206">
        <f t="shared" si="35"/>
        <v>90</v>
      </c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20"/>
      <c r="AR205" s="317"/>
      <c r="AS205" s="319"/>
      <c r="AT205" s="319"/>
      <c r="AU205" s="319"/>
      <c r="AV205" s="319"/>
      <c r="AW205" s="319"/>
      <c r="AX205" s="319"/>
      <c r="AY205" s="319"/>
      <c r="AZ205" s="319"/>
      <c r="BA205" s="319"/>
      <c r="BB205" s="319"/>
      <c r="BC205" s="319"/>
      <c r="BD205" s="319"/>
      <c r="BE205" s="319"/>
      <c r="BF205" s="319"/>
      <c r="BG205" s="319"/>
      <c r="BH205" s="319"/>
      <c r="BI205" s="261"/>
      <c r="BJ205" s="261"/>
      <c r="BK205" s="261"/>
      <c r="BL205" s="261"/>
      <c r="BM205" s="261"/>
      <c r="BN205" s="261"/>
      <c r="BO205" s="261"/>
      <c r="BP205" s="261"/>
      <c r="BQ205" s="261"/>
      <c r="BR205" s="261"/>
      <c r="BS205" s="261"/>
      <c r="BT205" s="261"/>
      <c r="BU205" s="261"/>
      <c r="BV205" s="261"/>
      <c r="BW205" s="261"/>
    </row>
    <row r="206" spans="1:75" ht="15.05" customHeight="1">
      <c r="A206" s="261"/>
      <c r="B206" s="229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315"/>
      <c r="O206" s="315"/>
      <c r="P206" s="389">
        <f>SUM(P205+100)</f>
        <v>400</v>
      </c>
      <c r="Q206" s="390">
        <f>SUM(Q205+50)</f>
        <v>200</v>
      </c>
      <c r="R206" s="206">
        <f>SUM(R205+1)</f>
        <v>2</v>
      </c>
      <c r="S206" s="315"/>
      <c r="T206" s="65" t="s">
        <v>406</v>
      </c>
      <c r="U206" s="604">
        <f>PRIJZEN!C25</f>
        <v>1.1000000000000001</v>
      </c>
      <c r="V206" s="604"/>
      <c r="W206" s="317">
        <f t="shared" si="33"/>
        <v>94</v>
      </c>
      <c r="X206" s="315"/>
      <c r="Y206" s="317"/>
      <c r="Z206" s="315"/>
      <c r="AA206" s="597">
        <f t="shared" si="32"/>
        <v>90</v>
      </c>
      <c r="AB206" s="597"/>
      <c r="AC206" s="315"/>
      <c r="AD206" s="206">
        <f t="shared" si="35"/>
        <v>91</v>
      </c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20"/>
      <c r="AR206" s="317"/>
      <c r="AS206" s="319"/>
      <c r="AT206" s="319"/>
      <c r="AU206" s="319"/>
      <c r="AV206" s="319"/>
      <c r="AW206" s="319"/>
      <c r="AX206" s="319"/>
      <c r="AY206" s="319"/>
      <c r="AZ206" s="319"/>
      <c r="BA206" s="319"/>
      <c r="BB206" s="319"/>
      <c r="BC206" s="319"/>
      <c r="BD206" s="319"/>
      <c r="BE206" s="319"/>
      <c r="BF206" s="319"/>
      <c r="BG206" s="319"/>
      <c r="BH206" s="319"/>
      <c r="BI206" s="261"/>
      <c r="BJ206" s="261"/>
      <c r="BK206" s="261"/>
      <c r="BL206" s="261"/>
      <c r="BM206" s="261"/>
      <c r="BN206" s="261"/>
      <c r="BO206" s="261"/>
      <c r="BP206" s="261"/>
      <c r="BQ206" s="261"/>
      <c r="BR206" s="261"/>
      <c r="BS206" s="261"/>
      <c r="BT206" s="261"/>
      <c r="BU206" s="261"/>
      <c r="BV206" s="261"/>
      <c r="BW206" s="261"/>
    </row>
    <row r="207" spans="1:75" ht="15.05" customHeight="1">
      <c r="A207" s="261"/>
      <c r="B207" s="229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315"/>
      <c r="O207" s="315"/>
      <c r="P207" s="389">
        <f t="shared" ref="P207:P270" si="36">SUM(P206+100)</f>
        <v>500</v>
      </c>
      <c r="Q207" s="390">
        <f t="shared" ref="Q207:Q242" si="37">SUM(Q206+50)</f>
        <v>250</v>
      </c>
      <c r="R207" s="206">
        <f t="shared" ref="R207:R270" si="38">SUM(R206+1)</f>
        <v>3</v>
      </c>
      <c r="S207" s="315"/>
      <c r="T207" s="65" t="s">
        <v>407</v>
      </c>
      <c r="U207" s="604">
        <f>PRIJZEN!C26</f>
        <v>1.4</v>
      </c>
      <c r="V207" s="604"/>
      <c r="W207" s="317">
        <f t="shared" si="33"/>
        <v>95</v>
      </c>
      <c r="X207" s="315"/>
      <c r="Y207" s="317"/>
      <c r="Z207" s="315"/>
      <c r="AA207" s="597">
        <f t="shared" si="32"/>
        <v>91</v>
      </c>
      <c r="AB207" s="597"/>
      <c r="AC207" s="315"/>
      <c r="AD207" s="206">
        <f t="shared" si="35"/>
        <v>92</v>
      </c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20"/>
      <c r="AR207" s="317"/>
      <c r="AS207" s="319"/>
      <c r="AT207" s="319"/>
      <c r="AU207" s="319"/>
      <c r="AV207" s="319"/>
      <c r="AW207" s="319"/>
      <c r="AX207" s="319"/>
      <c r="AY207" s="319"/>
      <c r="AZ207" s="319"/>
      <c r="BA207" s="319"/>
      <c r="BB207" s="319"/>
      <c r="BC207" s="319"/>
      <c r="BD207" s="319"/>
      <c r="BE207" s="319"/>
      <c r="BF207" s="319"/>
      <c r="BG207" s="319"/>
      <c r="BH207" s="319"/>
      <c r="BI207" s="261"/>
      <c r="BJ207" s="261"/>
      <c r="BK207" s="261"/>
      <c r="BL207" s="261"/>
      <c r="BM207" s="261"/>
      <c r="BN207" s="261"/>
      <c r="BO207" s="261"/>
      <c r="BP207" s="261"/>
      <c r="BQ207" s="261"/>
      <c r="BR207" s="261"/>
      <c r="BS207" s="261"/>
      <c r="BT207" s="261"/>
      <c r="BU207" s="261"/>
      <c r="BV207" s="261"/>
      <c r="BW207" s="261"/>
    </row>
    <row r="208" spans="1:75" ht="15.05" customHeight="1">
      <c r="A208" s="261"/>
      <c r="B208" s="229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315"/>
      <c r="O208" s="315"/>
      <c r="P208" s="389">
        <f t="shared" si="36"/>
        <v>600</v>
      </c>
      <c r="Q208" s="390">
        <f t="shared" si="37"/>
        <v>300</v>
      </c>
      <c r="R208" s="206">
        <f t="shared" si="38"/>
        <v>4</v>
      </c>
      <c r="S208" s="315"/>
      <c r="T208" s="315"/>
      <c r="U208" s="315"/>
      <c r="V208" s="315"/>
      <c r="W208" s="317">
        <f t="shared" si="33"/>
        <v>96</v>
      </c>
      <c r="X208" s="315"/>
      <c r="Y208" s="317"/>
      <c r="Z208" s="315"/>
      <c r="AA208" s="597">
        <f t="shared" si="32"/>
        <v>92</v>
      </c>
      <c r="AB208" s="597"/>
      <c r="AC208" s="315"/>
      <c r="AD208" s="206">
        <f t="shared" si="35"/>
        <v>93</v>
      </c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20"/>
      <c r="AR208" s="317"/>
      <c r="AS208" s="319"/>
      <c r="AT208" s="319"/>
      <c r="AU208" s="319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19"/>
      <c r="BI208" s="261"/>
      <c r="BJ208" s="261"/>
      <c r="BK208" s="261"/>
      <c r="BL208" s="261"/>
      <c r="BM208" s="261"/>
      <c r="BN208" s="261"/>
      <c r="BO208" s="261"/>
      <c r="BP208" s="261"/>
      <c r="BQ208" s="261"/>
      <c r="BR208" s="261"/>
      <c r="BS208" s="261"/>
      <c r="BT208" s="261"/>
      <c r="BU208" s="261"/>
      <c r="BV208" s="261"/>
      <c r="BW208" s="261"/>
    </row>
    <row r="209" spans="1:75" ht="15.05" customHeight="1">
      <c r="A209" s="261"/>
      <c r="B209" s="229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315"/>
      <c r="O209" s="315"/>
      <c r="P209" s="389">
        <f t="shared" si="36"/>
        <v>700</v>
      </c>
      <c r="Q209" s="390">
        <f t="shared" si="37"/>
        <v>350</v>
      </c>
      <c r="R209" s="206">
        <f t="shared" si="38"/>
        <v>5</v>
      </c>
      <c r="S209" s="315"/>
      <c r="T209" s="315"/>
      <c r="U209" s="315"/>
      <c r="V209" s="315"/>
      <c r="W209" s="317">
        <f t="shared" si="33"/>
        <v>97</v>
      </c>
      <c r="X209" s="315"/>
      <c r="Y209" s="317"/>
      <c r="Z209" s="315"/>
      <c r="AA209" s="597">
        <f t="shared" si="32"/>
        <v>93</v>
      </c>
      <c r="AB209" s="597"/>
      <c r="AC209" s="315"/>
      <c r="AD209" s="206">
        <f t="shared" si="35"/>
        <v>94</v>
      </c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315"/>
      <c r="AO209" s="315"/>
      <c r="AP209" s="315"/>
      <c r="AQ209" s="320"/>
      <c r="AR209" s="317"/>
      <c r="AS209" s="319"/>
      <c r="AT209" s="319"/>
      <c r="AU209" s="319"/>
      <c r="AV209" s="319"/>
      <c r="AW209" s="319"/>
      <c r="AX209" s="319"/>
      <c r="AY209" s="319"/>
      <c r="AZ209" s="319"/>
      <c r="BA209" s="319"/>
      <c r="BB209" s="319"/>
      <c r="BC209" s="319"/>
      <c r="BD209" s="319"/>
      <c r="BE209" s="319"/>
      <c r="BF209" s="319"/>
      <c r="BG209" s="319"/>
      <c r="BH209" s="319"/>
      <c r="BI209" s="261"/>
      <c r="BJ209" s="261"/>
      <c r="BK209" s="261"/>
      <c r="BL209" s="261"/>
      <c r="BM209" s="261"/>
      <c r="BN209" s="261"/>
      <c r="BO209" s="261"/>
      <c r="BP209" s="261"/>
      <c r="BQ209" s="261"/>
      <c r="BR209" s="261"/>
      <c r="BS209" s="261"/>
      <c r="BT209" s="261"/>
      <c r="BU209" s="261"/>
      <c r="BV209" s="261"/>
      <c r="BW209" s="261"/>
    </row>
    <row r="210" spans="1:75" ht="15.05" customHeight="1">
      <c r="A210" s="261"/>
      <c r="B210" s="229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315"/>
      <c r="O210" s="315"/>
      <c r="P210" s="389">
        <f t="shared" si="36"/>
        <v>800</v>
      </c>
      <c r="Q210" s="390">
        <f t="shared" si="37"/>
        <v>400</v>
      </c>
      <c r="R210" s="206">
        <f t="shared" si="38"/>
        <v>6</v>
      </c>
      <c r="S210" s="315"/>
      <c r="T210" s="315"/>
      <c r="U210" s="315"/>
      <c r="V210" s="315"/>
      <c r="W210" s="317">
        <f t="shared" si="33"/>
        <v>98</v>
      </c>
      <c r="X210" s="315"/>
      <c r="Y210" s="317"/>
      <c r="Z210" s="315"/>
      <c r="AA210" s="597">
        <f t="shared" si="32"/>
        <v>94</v>
      </c>
      <c r="AB210" s="597"/>
      <c r="AC210" s="315"/>
      <c r="AD210" s="206">
        <f t="shared" si="35"/>
        <v>95</v>
      </c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315"/>
      <c r="AO210" s="315"/>
      <c r="AP210" s="315"/>
      <c r="AQ210" s="320"/>
      <c r="AR210" s="317"/>
      <c r="AS210" s="319"/>
      <c r="AT210" s="319"/>
      <c r="AU210" s="319"/>
      <c r="AV210" s="319"/>
      <c r="AW210" s="319"/>
      <c r="AX210" s="319"/>
      <c r="AY210" s="319"/>
      <c r="AZ210" s="319"/>
      <c r="BA210" s="319"/>
      <c r="BB210" s="319"/>
      <c r="BC210" s="319"/>
      <c r="BD210" s="319"/>
      <c r="BE210" s="319"/>
      <c r="BF210" s="319"/>
      <c r="BG210" s="319"/>
      <c r="BH210" s="319"/>
      <c r="BI210" s="261"/>
      <c r="BJ210" s="261"/>
      <c r="BK210" s="261"/>
      <c r="BL210" s="261"/>
      <c r="BM210" s="261"/>
      <c r="BN210" s="261"/>
      <c r="BO210" s="261"/>
      <c r="BP210" s="261"/>
      <c r="BQ210" s="261"/>
      <c r="BR210" s="261"/>
      <c r="BS210" s="261"/>
      <c r="BT210" s="261"/>
      <c r="BU210" s="261"/>
      <c r="BV210" s="261"/>
      <c r="BW210" s="261"/>
    </row>
    <row r="211" spans="1:75" ht="15.05" customHeight="1">
      <c r="A211" s="261"/>
      <c r="B211" s="229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315"/>
      <c r="O211" s="315"/>
      <c r="P211" s="389">
        <f t="shared" si="36"/>
        <v>900</v>
      </c>
      <c r="Q211" s="390">
        <f t="shared" si="37"/>
        <v>450</v>
      </c>
      <c r="R211" s="206">
        <f t="shared" si="38"/>
        <v>7</v>
      </c>
      <c r="S211" s="315"/>
      <c r="T211" s="596" t="s">
        <v>422</v>
      </c>
      <c r="U211" s="596" t="s">
        <v>424</v>
      </c>
      <c r="V211" s="596"/>
      <c r="W211" s="317">
        <f t="shared" si="33"/>
        <v>99</v>
      </c>
      <c r="X211" s="315"/>
      <c r="Y211" s="317"/>
      <c r="Z211" s="315"/>
      <c r="AA211" s="597">
        <f t="shared" si="32"/>
        <v>95</v>
      </c>
      <c r="AB211" s="597"/>
      <c r="AC211" s="315"/>
      <c r="AD211" s="206">
        <f t="shared" si="35"/>
        <v>96</v>
      </c>
      <c r="AE211" s="315"/>
      <c r="AF211" s="315"/>
      <c r="AG211" s="315"/>
      <c r="AH211" s="315"/>
      <c r="AI211" s="315"/>
      <c r="AJ211" s="315"/>
      <c r="AK211" s="315"/>
      <c r="AL211" s="315"/>
      <c r="AM211" s="315"/>
      <c r="AN211" s="315"/>
      <c r="AO211" s="315"/>
      <c r="AP211" s="315"/>
      <c r="AQ211" s="320"/>
      <c r="AR211" s="317"/>
      <c r="AS211" s="319"/>
      <c r="AT211" s="319"/>
      <c r="AU211" s="319"/>
      <c r="AV211" s="319"/>
      <c r="AW211" s="319"/>
      <c r="AX211" s="319"/>
      <c r="AY211" s="319"/>
      <c r="AZ211" s="319"/>
      <c r="BA211" s="319"/>
      <c r="BB211" s="319"/>
      <c r="BC211" s="319"/>
      <c r="BD211" s="319"/>
      <c r="BE211" s="319"/>
      <c r="BF211" s="319"/>
      <c r="BG211" s="319"/>
      <c r="BH211" s="319"/>
      <c r="BI211" s="261"/>
      <c r="BJ211" s="261"/>
      <c r="BK211" s="261"/>
      <c r="BL211" s="261"/>
      <c r="BM211" s="261"/>
      <c r="BN211" s="261"/>
      <c r="BO211" s="261"/>
      <c r="BP211" s="261"/>
      <c r="BQ211" s="261"/>
      <c r="BR211" s="261"/>
      <c r="BS211" s="261"/>
      <c r="BT211" s="261"/>
      <c r="BU211" s="261"/>
      <c r="BV211" s="261"/>
      <c r="BW211" s="261"/>
    </row>
    <row r="212" spans="1:75" ht="15.05" customHeight="1">
      <c r="A212" s="261"/>
      <c r="B212" s="229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315"/>
      <c r="O212" s="315"/>
      <c r="P212" s="389">
        <f t="shared" si="36"/>
        <v>1000</v>
      </c>
      <c r="Q212" s="390">
        <f t="shared" si="37"/>
        <v>500</v>
      </c>
      <c r="R212" s="206">
        <f t="shared" si="38"/>
        <v>8</v>
      </c>
      <c r="S212" s="315"/>
      <c r="T212" s="317">
        <v>6</v>
      </c>
      <c r="U212" s="317">
        <v>4</v>
      </c>
      <c r="V212" s="317"/>
      <c r="W212" s="317">
        <f t="shared" si="33"/>
        <v>100</v>
      </c>
      <c r="X212" s="315"/>
      <c r="Y212" s="317"/>
      <c r="Z212" s="315"/>
      <c r="AA212" s="597">
        <f t="shared" si="32"/>
        <v>96</v>
      </c>
      <c r="AB212" s="597"/>
      <c r="AC212" s="315"/>
      <c r="AD212" s="206">
        <f t="shared" si="35"/>
        <v>97</v>
      </c>
      <c r="AE212" s="315"/>
      <c r="AF212" s="315"/>
      <c r="AG212" s="315"/>
      <c r="AH212" s="315"/>
      <c r="AI212" s="315"/>
      <c r="AJ212" s="315"/>
      <c r="AK212" s="315"/>
      <c r="AL212" s="315"/>
      <c r="AM212" s="315"/>
      <c r="AN212" s="315"/>
      <c r="AO212" s="315"/>
      <c r="AP212" s="315"/>
      <c r="AQ212" s="320"/>
      <c r="AR212" s="317"/>
      <c r="AS212" s="319"/>
      <c r="AT212" s="319"/>
      <c r="AU212" s="319"/>
      <c r="AV212" s="319"/>
      <c r="AW212" s="319"/>
      <c r="AX212" s="319"/>
      <c r="AY212" s="319"/>
      <c r="AZ212" s="319"/>
      <c r="BA212" s="319"/>
      <c r="BB212" s="319"/>
      <c r="BC212" s="319"/>
      <c r="BD212" s="319"/>
      <c r="BE212" s="319"/>
      <c r="BF212" s="319"/>
      <c r="BG212" s="319"/>
      <c r="BH212" s="319"/>
      <c r="BI212" s="261"/>
      <c r="BJ212" s="261"/>
      <c r="BK212" s="261"/>
      <c r="BL212" s="261"/>
      <c r="BM212" s="261"/>
      <c r="BN212" s="261"/>
      <c r="BO212" s="261"/>
      <c r="BP212" s="261"/>
      <c r="BQ212" s="261"/>
      <c r="BR212" s="261"/>
      <c r="BS212" s="261"/>
      <c r="BT212" s="261"/>
      <c r="BU212" s="261"/>
      <c r="BV212" s="261"/>
      <c r="BW212" s="261"/>
    </row>
    <row r="213" spans="1:75" ht="15.05" customHeight="1">
      <c r="A213" s="261"/>
      <c r="B213" s="229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315"/>
      <c r="O213" s="315"/>
      <c r="P213" s="389">
        <f t="shared" si="36"/>
        <v>1100</v>
      </c>
      <c r="Q213" s="390">
        <f t="shared" si="37"/>
        <v>550</v>
      </c>
      <c r="R213" s="206">
        <f t="shared" si="38"/>
        <v>9</v>
      </c>
      <c r="S213" s="315"/>
      <c r="T213" s="317">
        <f>SUM(T212+1)</f>
        <v>7</v>
      </c>
      <c r="U213" s="317">
        <f>SUM(U212+1)</f>
        <v>5</v>
      </c>
      <c r="V213" s="317"/>
      <c r="W213" s="317">
        <f t="shared" si="33"/>
        <v>101</v>
      </c>
      <c r="X213" s="315"/>
      <c r="Y213" s="317"/>
      <c r="Z213" s="315"/>
      <c r="AA213" s="597">
        <f t="shared" si="32"/>
        <v>97</v>
      </c>
      <c r="AB213" s="597"/>
      <c r="AC213" s="315"/>
      <c r="AD213" s="206">
        <f t="shared" si="35"/>
        <v>98</v>
      </c>
      <c r="AE213" s="315"/>
      <c r="AF213" s="315"/>
      <c r="AG213" s="315"/>
      <c r="AH213" s="315"/>
      <c r="AI213" s="315"/>
      <c r="AJ213" s="315"/>
      <c r="AK213" s="315"/>
      <c r="AL213" s="315"/>
      <c r="AM213" s="315"/>
      <c r="AN213" s="315"/>
      <c r="AO213" s="315"/>
      <c r="AP213" s="315"/>
      <c r="AQ213" s="320"/>
      <c r="AR213" s="317"/>
      <c r="AS213" s="319"/>
      <c r="AT213" s="319"/>
      <c r="AU213" s="319"/>
      <c r="AV213" s="319"/>
      <c r="AW213" s="319"/>
      <c r="AX213" s="319"/>
      <c r="AY213" s="319"/>
      <c r="AZ213" s="319"/>
      <c r="BA213" s="319"/>
      <c r="BB213" s="319"/>
      <c r="BC213" s="319"/>
      <c r="BD213" s="319"/>
      <c r="BE213" s="319"/>
      <c r="BF213" s="319"/>
      <c r="BG213" s="319"/>
      <c r="BH213" s="319"/>
      <c r="BI213" s="261"/>
      <c r="BJ213" s="261"/>
      <c r="BK213" s="261"/>
      <c r="BL213" s="261"/>
      <c r="BM213" s="261"/>
      <c r="BN213" s="261"/>
      <c r="BO213" s="261"/>
      <c r="BP213" s="261"/>
      <c r="BQ213" s="261"/>
      <c r="BR213" s="261"/>
      <c r="BS213" s="261"/>
      <c r="BT213" s="261"/>
      <c r="BU213" s="261"/>
      <c r="BV213" s="261"/>
      <c r="BW213" s="261"/>
    </row>
    <row r="214" spans="1:75" ht="15.05" customHeight="1">
      <c r="B214" s="230"/>
      <c r="C214" s="230"/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315"/>
      <c r="O214" s="315"/>
      <c r="P214" s="389">
        <f t="shared" si="36"/>
        <v>1200</v>
      </c>
      <c r="Q214" s="390">
        <f t="shared" si="37"/>
        <v>600</v>
      </c>
      <c r="R214" s="206">
        <f t="shared" si="38"/>
        <v>10</v>
      </c>
      <c r="S214" s="315"/>
      <c r="T214" s="317">
        <f>SUM(T213+1)</f>
        <v>8</v>
      </c>
      <c r="U214" s="317">
        <f>SUM(U213+1)</f>
        <v>6</v>
      </c>
      <c r="V214" s="317"/>
      <c r="W214" s="317">
        <f t="shared" si="33"/>
        <v>102</v>
      </c>
      <c r="X214" s="315"/>
      <c r="Y214" s="317"/>
      <c r="Z214" s="315"/>
      <c r="AA214" s="597">
        <f t="shared" si="32"/>
        <v>98</v>
      </c>
      <c r="AB214" s="597"/>
      <c r="AC214" s="315"/>
      <c r="AD214" s="206">
        <f t="shared" si="35"/>
        <v>99</v>
      </c>
      <c r="AE214" s="315"/>
      <c r="AF214" s="315"/>
      <c r="AG214" s="315"/>
      <c r="AH214" s="315"/>
      <c r="AI214" s="315"/>
      <c r="AJ214" s="315"/>
      <c r="AK214" s="315"/>
      <c r="AL214" s="315"/>
      <c r="AM214" s="315"/>
      <c r="AN214" s="315"/>
      <c r="AO214" s="315"/>
      <c r="AP214" s="315"/>
      <c r="AQ214" s="320"/>
      <c r="AR214" s="317"/>
      <c r="AS214" s="319"/>
      <c r="AT214" s="319"/>
      <c r="AU214" s="319"/>
      <c r="AV214" s="319"/>
      <c r="AW214" s="319"/>
      <c r="AX214" s="319"/>
      <c r="AY214" s="319"/>
      <c r="AZ214" s="319"/>
      <c r="BA214" s="319"/>
      <c r="BB214" s="319"/>
      <c r="BC214" s="319"/>
      <c r="BD214" s="319"/>
      <c r="BE214" s="319"/>
      <c r="BF214" s="319"/>
      <c r="BG214" s="319"/>
      <c r="BH214" s="319"/>
      <c r="BI214" s="261"/>
      <c r="BJ214" s="261"/>
      <c r="BK214" s="261"/>
      <c r="BL214" s="261"/>
      <c r="BM214" s="261"/>
      <c r="BN214" s="261"/>
      <c r="BO214" s="261"/>
      <c r="BP214" s="261"/>
      <c r="BQ214" s="261"/>
      <c r="BR214" s="261"/>
      <c r="BS214" s="261"/>
      <c r="BT214" s="261"/>
      <c r="BU214" s="261"/>
      <c r="BV214" s="261"/>
      <c r="BW214" s="261"/>
    </row>
    <row r="215" spans="1:75" ht="15.05" customHeight="1">
      <c r="B215" s="230"/>
      <c r="C215" s="230"/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315"/>
      <c r="O215" s="315"/>
      <c r="P215" s="389">
        <f t="shared" si="36"/>
        <v>1300</v>
      </c>
      <c r="Q215" s="390">
        <f t="shared" si="37"/>
        <v>650</v>
      </c>
      <c r="R215" s="206">
        <f t="shared" si="38"/>
        <v>11</v>
      </c>
      <c r="S215" s="315"/>
      <c r="T215" s="317">
        <f t="shared" ref="T215:U236" si="39">SUM(T214+1)</f>
        <v>9</v>
      </c>
      <c r="U215" s="317">
        <f t="shared" si="39"/>
        <v>7</v>
      </c>
      <c r="V215" s="317"/>
      <c r="W215" s="317">
        <f t="shared" si="33"/>
        <v>103</v>
      </c>
      <c r="X215" s="315"/>
      <c r="Y215" s="317"/>
      <c r="Z215" s="315"/>
      <c r="AA215" s="597">
        <f t="shared" si="32"/>
        <v>99</v>
      </c>
      <c r="AB215" s="597"/>
      <c r="AC215" s="315"/>
      <c r="AD215" s="206">
        <f t="shared" si="35"/>
        <v>100</v>
      </c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20"/>
      <c r="AR215" s="317"/>
      <c r="AS215" s="319"/>
      <c r="AT215" s="319"/>
      <c r="AU215" s="319"/>
      <c r="AV215" s="319"/>
      <c r="AW215" s="319"/>
      <c r="AX215" s="319"/>
      <c r="AY215" s="319"/>
      <c r="AZ215" s="319"/>
      <c r="BA215" s="319"/>
      <c r="BB215" s="319"/>
      <c r="BC215" s="319"/>
      <c r="BD215" s="319"/>
      <c r="BE215" s="319"/>
      <c r="BF215" s="319"/>
      <c r="BG215" s="319"/>
      <c r="BH215" s="319"/>
      <c r="BI215" s="261"/>
      <c r="BJ215" s="261"/>
      <c r="BK215" s="261"/>
      <c r="BL215" s="261"/>
      <c r="BM215" s="261"/>
      <c r="BN215" s="261"/>
      <c r="BO215" s="261"/>
      <c r="BP215" s="261"/>
      <c r="BQ215" s="261"/>
      <c r="BR215" s="261"/>
      <c r="BS215" s="261"/>
      <c r="BT215" s="261"/>
      <c r="BU215" s="261"/>
      <c r="BV215" s="261"/>
      <c r="BW215" s="261"/>
    </row>
    <row r="216" spans="1:75" ht="15.05" customHeight="1">
      <c r="B216" s="230"/>
      <c r="C216" s="230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315"/>
      <c r="O216" s="315"/>
      <c r="P216" s="389">
        <f t="shared" si="36"/>
        <v>1400</v>
      </c>
      <c r="Q216" s="390">
        <f t="shared" si="37"/>
        <v>700</v>
      </c>
      <c r="R216" s="206">
        <f t="shared" si="38"/>
        <v>12</v>
      </c>
      <c r="S216" s="315"/>
      <c r="T216" s="317">
        <f t="shared" si="39"/>
        <v>10</v>
      </c>
      <c r="U216" s="317">
        <f t="shared" si="39"/>
        <v>8</v>
      </c>
      <c r="V216" s="317"/>
      <c r="W216" s="317">
        <f t="shared" si="33"/>
        <v>104</v>
      </c>
      <c r="X216" s="315"/>
      <c r="Y216" s="317"/>
      <c r="Z216" s="315"/>
      <c r="AA216" s="597">
        <f t="shared" si="32"/>
        <v>100</v>
      </c>
      <c r="AB216" s="597"/>
      <c r="AC216" s="315"/>
      <c r="AD216" s="206">
        <f t="shared" si="35"/>
        <v>101</v>
      </c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315"/>
      <c r="AQ216" s="320"/>
      <c r="AR216" s="317"/>
      <c r="AS216" s="319"/>
      <c r="AT216" s="319"/>
      <c r="AU216" s="319"/>
      <c r="AV216" s="319"/>
      <c r="AW216" s="319"/>
      <c r="AX216" s="319"/>
      <c r="AY216" s="319"/>
      <c r="AZ216" s="319"/>
      <c r="BA216" s="319"/>
      <c r="BB216" s="319"/>
      <c r="BC216" s="319"/>
      <c r="BD216" s="319"/>
      <c r="BE216" s="319"/>
      <c r="BF216" s="319"/>
      <c r="BG216" s="319"/>
      <c r="BH216" s="319"/>
      <c r="BI216" s="261"/>
      <c r="BJ216" s="261"/>
      <c r="BK216" s="261"/>
      <c r="BL216" s="261"/>
      <c r="BM216" s="261"/>
      <c r="BN216" s="261"/>
      <c r="BO216" s="261"/>
      <c r="BP216" s="261"/>
      <c r="BQ216" s="261"/>
      <c r="BR216" s="261"/>
      <c r="BS216" s="261"/>
      <c r="BT216" s="261"/>
      <c r="BU216" s="261"/>
      <c r="BV216" s="261"/>
      <c r="BW216" s="261"/>
    </row>
    <row r="217" spans="1:75" ht="15.05" customHeight="1">
      <c r="B217" s="230"/>
      <c r="C217" s="230"/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315"/>
      <c r="O217" s="315"/>
      <c r="P217" s="389">
        <f t="shared" si="36"/>
        <v>1500</v>
      </c>
      <c r="Q217" s="390">
        <f t="shared" si="37"/>
        <v>750</v>
      </c>
      <c r="R217" s="206">
        <f t="shared" si="38"/>
        <v>13</v>
      </c>
      <c r="S217" s="315"/>
      <c r="T217" s="317">
        <f t="shared" si="39"/>
        <v>11</v>
      </c>
      <c r="U217" s="317">
        <f t="shared" si="39"/>
        <v>9</v>
      </c>
      <c r="V217" s="317"/>
      <c r="W217" s="317">
        <f t="shared" si="33"/>
        <v>105</v>
      </c>
      <c r="X217" s="315"/>
      <c r="Y217" s="317"/>
      <c r="Z217" s="315"/>
      <c r="AA217" s="317"/>
      <c r="AB217" s="315"/>
      <c r="AC217" s="315"/>
      <c r="AD217" s="206">
        <f t="shared" si="35"/>
        <v>102</v>
      </c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20"/>
      <c r="AR217" s="317"/>
      <c r="AS217" s="319"/>
      <c r="AT217" s="319"/>
      <c r="AU217" s="319"/>
      <c r="AV217" s="319"/>
      <c r="AW217" s="319"/>
      <c r="AX217" s="319"/>
      <c r="AY217" s="319"/>
      <c r="AZ217" s="319"/>
      <c r="BA217" s="319"/>
      <c r="BB217" s="319"/>
      <c r="BC217" s="319"/>
      <c r="BD217" s="319"/>
      <c r="BE217" s="319"/>
      <c r="BF217" s="319"/>
      <c r="BG217" s="319"/>
      <c r="BH217" s="319"/>
      <c r="BI217" s="261"/>
      <c r="BJ217" s="261"/>
      <c r="BK217" s="261"/>
      <c r="BL217" s="261"/>
      <c r="BM217" s="261"/>
      <c r="BN217" s="261"/>
      <c r="BO217" s="261"/>
      <c r="BP217" s="261"/>
      <c r="BQ217" s="261"/>
      <c r="BR217" s="261"/>
      <c r="BS217" s="261"/>
      <c r="BT217" s="261"/>
      <c r="BU217" s="261"/>
      <c r="BV217" s="261"/>
      <c r="BW217" s="261"/>
    </row>
    <row r="218" spans="1:75" ht="15.05" customHeight="1">
      <c r="B218" s="230"/>
      <c r="C218" s="230"/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315"/>
      <c r="O218" s="315"/>
      <c r="P218" s="389">
        <f t="shared" si="36"/>
        <v>1600</v>
      </c>
      <c r="Q218" s="390">
        <f t="shared" si="37"/>
        <v>800</v>
      </c>
      <c r="R218" s="206">
        <f t="shared" si="38"/>
        <v>14</v>
      </c>
      <c r="S218" s="315"/>
      <c r="T218" s="317">
        <f t="shared" si="39"/>
        <v>12</v>
      </c>
      <c r="U218" s="317">
        <f t="shared" si="39"/>
        <v>10</v>
      </c>
      <c r="V218" s="317"/>
      <c r="W218" s="317">
        <f t="shared" si="33"/>
        <v>106</v>
      </c>
      <c r="X218" s="315"/>
      <c r="Y218" s="317"/>
      <c r="Z218" s="315"/>
      <c r="AA218" s="317"/>
      <c r="AB218" s="315"/>
      <c r="AC218" s="315"/>
      <c r="AD218" s="206">
        <f t="shared" si="35"/>
        <v>103</v>
      </c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20"/>
      <c r="AR218" s="317"/>
      <c r="AS218" s="319"/>
      <c r="AT218" s="319"/>
      <c r="AU218" s="319"/>
      <c r="AV218" s="319"/>
      <c r="AW218" s="319"/>
      <c r="AX218" s="319"/>
      <c r="AY218" s="319"/>
      <c r="AZ218" s="319"/>
      <c r="BA218" s="319"/>
      <c r="BB218" s="319"/>
      <c r="BC218" s="319"/>
      <c r="BD218" s="319"/>
      <c r="BE218" s="319"/>
      <c r="BF218" s="319"/>
      <c r="BG218" s="319"/>
      <c r="BH218" s="319"/>
      <c r="BI218" s="261"/>
      <c r="BJ218" s="261"/>
      <c r="BK218" s="261"/>
      <c r="BL218" s="261"/>
      <c r="BM218" s="261"/>
      <c r="BN218" s="261"/>
      <c r="BO218" s="261"/>
      <c r="BP218" s="261"/>
      <c r="BQ218" s="261"/>
      <c r="BR218" s="261"/>
      <c r="BS218" s="261"/>
      <c r="BT218" s="261"/>
      <c r="BU218" s="261"/>
      <c r="BV218" s="261"/>
      <c r="BW218" s="261"/>
    </row>
    <row r="219" spans="1:75" ht="15.05" customHeight="1">
      <c r="B219" s="230"/>
      <c r="C219" s="230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315"/>
      <c r="O219" s="315"/>
      <c r="P219" s="389">
        <f t="shared" si="36"/>
        <v>1700</v>
      </c>
      <c r="Q219" s="390">
        <f t="shared" si="37"/>
        <v>850</v>
      </c>
      <c r="R219" s="206">
        <f t="shared" si="38"/>
        <v>15</v>
      </c>
      <c r="S219" s="315"/>
      <c r="T219" s="317">
        <f t="shared" si="39"/>
        <v>13</v>
      </c>
      <c r="U219" s="317">
        <f t="shared" si="39"/>
        <v>11</v>
      </c>
      <c r="V219" s="317"/>
      <c r="W219" s="317">
        <f t="shared" si="33"/>
        <v>107</v>
      </c>
      <c r="X219" s="315"/>
      <c r="Y219" s="317"/>
      <c r="Z219" s="315"/>
      <c r="AA219" s="317"/>
      <c r="AB219" s="315"/>
      <c r="AC219" s="315"/>
      <c r="AD219" s="206">
        <f t="shared" si="35"/>
        <v>104</v>
      </c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20"/>
      <c r="AR219" s="317"/>
      <c r="AS219" s="319"/>
      <c r="AT219" s="319"/>
      <c r="AU219" s="319"/>
      <c r="AV219" s="319"/>
      <c r="AW219" s="319"/>
      <c r="AX219" s="319"/>
      <c r="AY219" s="319"/>
      <c r="AZ219" s="319"/>
      <c r="BA219" s="319"/>
      <c r="BB219" s="319"/>
      <c r="BC219" s="319"/>
      <c r="BD219" s="319"/>
      <c r="BE219" s="319"/>
      <c r="BF219" s="319"/>
      <c r="BG219" s="319"/>
      <c r="BH219" s="319"/>
      <c r="BI219" s="261"/>
      <c r="BJ219" s="261"/>
      <c r="BK219" s="261"/>
      <c r="BL219" s="261"/>
      <c r="BM219" s="261"/>
      <c r="BN219" s="261"/>
      <c r="BO219" s="261"/>
      <c r="BP219" s="261"/>
      <c r="BQ219" s="261"/>
      <c r="BR219" s="261"/>
      <c r="BS219" s="261"/>
      <c r="BT219" s="261"/>
      <c r="BU219" s="261"/>
      <c r="BV219" s="261"/>
      <c r="BW219" s="261"/>
    </row>
    <row r="220" spans="1:75" ht="15.05" customHeight="1">
      <c r="B220" s="230"/>
      <c r="C220" s="230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315"/>
      <c r="O220" s="315"/>
      <c r="P220" s="389">
        <f t="shared" si="36"/>
        <v>1800</v>
      </c>
      <c r="Q220" s="390">
        <f t="shared" si="37"/>
        <v>900</v>
      </c>
      <c r="R220" s="206">
        <f t="shared" si="38"/>
        <v>16</v>
      </c>
      <c r="S220" s="315"/>
      <c r="T220" s="317">
        <f t="shared" si="39"/>
        <v>14</v>
      </c>
      <c r="U220" s="317">
        <f t="shared" si="39"/>
        <v>12</v>
      </c>
      <c r="V220" s="317"/>
      <c r="W220" s="317">
        <f t="shared" si="33"/>
        <v>108</v>
      </c>
      <c r="X220" s="315"/>
      <c r="Y220" s="317"/>
      <c r="Z220" s="315"/>
      <c r="AA220" s="317"/>
      <c r="AB220" s="315"/>
      <c r="AC220" s="315"/>
      <c r="AD220" s="206">
        <f t="shared" si="35"/>
        <v>105</v>
      </c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20"/>
      <c r="AR220" s="317"/>
      <c r="AS220" s="319"/>
      <c r="AT220" s="319"/>
      <c r="AU220" s="319"/>
      <c r="AV220" s="319"/>
      <c r="AW220" s="319"/>
      <c r="AX220" s="319"/>
      <c r="AY220" s="319"/>
      <c r="AZ220" s="319"/>
      <c r="BA220" s="319"/>
      <c r="BB220" s="319"/>
      <c r="BC220" s="319"/>
      <c r="BD220" s="319"/>
      <c r="BE220" s="319"/>
      <c r="BF220" s="319"/>
      <c r="BG220" s="319"/>
      <c r="BH220" s="319"/>
      <c r="BI220" s="261"/>
      <c r="BJ220" s="261"/>
      <c r="BK220" s="261"/>
      <c r="BL220" s="261"/>
      <c r="BM220" s="261"/>
      <c r="BN220" s="261"/>
      <c r="BO220" s="261"/>
      <c r="BP220" s="261"/>
      <c r="BQ220" s="261"/>
      <c r="BR220" s="261"/>
      <c r="BS220" s="261"/>
      <c r="BT220" s="261"/>
      <c r="BU220" s="261"/>
      <c r="BV220" s="261"/>
      <c r="BW220" s="261"/>
    </row>
    <row r="221" spans="1:75" ht="15.05" customHeight="1">
      <c r="B221" s="230"/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315"/>
      <c r="O221" s="315"/>
      <c r="P221" s="389">
        <f t="shared" si="36"/>
        <v>1900</v>
      </c>
      <c r="Q221" s="390">
        <f t="shared" si="37"/>
        <v>950</v>
      </c>
      <c r="R221" s="206">
        <f t="shared" si="38"/>
        <v>17</v>
      </c>
      <c r="S221" s="315"/>
      <c r="T221" s="317">
        <f t="shared" si="39"/>
        <v>15</v>
      </c>
      <c r="U221" s="317">
        <f t="shared" si="39"/>
        <v>13</v>
      </c>
      <c r="V221" s="317"/>
      <c r="W221" s="317">
        <f t="shared" si="33"/>
        <v>109</v>
      </c>
      <c r="X221" s="315"/>
      <c r="Y221" s="317"/>
      <c r="Z221" s="315"/>
      <c r="AA221" s="317"/>
      <c r="AB221" s="315"/>
      <c r="AC221" s="315"/>
      <c r="AD221" s="206">
        <f t="shared" si="35"/>
        <v>106</v>
      </c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20"/>
      <c r="AR221" s="317"/>
      <c r="AS221" s="319"/>
      <c r="AT221" s="319"/>
      <c r="AU221" s="319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19"/>
      <c r="BI221" s="261"/>
      <c r="BJ221" s="261"/>
      <c r="BK221" s="261"/>
      <c r="BL221" s="261"/>
      <c r="BM221" s="261"/>
      <c r="BN221" s="261"/>
      <c r="BO221" s="261"/>
      <c r="BP221" s="261"/>
      <c r="BQ221" s="261"/>
      <c r="BR221" s="261"/>
      <c r="BS221" s="261"/>
      <c r="BT221" s="261"/>
      <c r="BU221" s="261"/>
      <c r="BV221" s="261"/>
      <c r="BW221" s="261"/>
    </row>
    <row r="222" spans="1:75" ht="15.05" customHeight="1">
      <c r="B222" s="230"/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315"/>
      <c r="O222" s="315"/>
      <c r="P222" s="389">
        <f t="shared" si="36"/>
        <v>2000</v>
      </c>
      <c r="Q222" s="390">
        <f t="shared" si="37"/>
        <v>1000</v>
      </c>
      <c r="R222" s="206">
        <f t="shared" si="38"/>
        <v>18</v>
      </c>
      <c r="S222" s="315"/>
      <c r="T222" s="317">
        <f t="shared" si="39"/>
        <v>16</v>
      </c>
      <c r="U222" s="317">
        <f t="shared" si="39"/>
        <v>14</v>
      </c>
      <c r="V222" s="317"/>
      <c r="W222" s="317">
        <f t="shared" si="33"/>
        <v>110</v>
      </c>
      <c r="X222" s="315"/>
      <c r="Y222" s="317"/>
      <c r="Z222" s="315"/>
      <c r="AA222" s="317"/>
      <c r="AB222" s="315"/>
      <c r="AC222" s="315"/>
      <c r="AD222" s="206">
        <f t="shared" si="35"/>
        <v>107</v>
      </c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20"/>
      <c r="AR222" s="317"/>
      <c r="AS222" s="319"/>
      <c r="AT222" s="319"/>
      <c r="AU222" s="319"/>
      <c r="AV222" s="319"/>
      <c r="AW222" s="319"/>
      <c r="AX222" s="319"/>
      <c r="AY222" s="319"/>
      <c r="AZ222" s="319"/>
      <c r="BA222" s="319"/>
      <c r="BB222" s="319"/>
      <c r="BC222" s="319"/>
      <c r="BD222" s="319"/>
      <c r="BE222" s="319"/>
      <c r="BF222" s="319"/>
      <c r="BG222" s="319"/>
      <c r="BH222" s="319"/>
      <c r="BI222" s="261"/>
      <c r="BJ222" s="261"/>
      <c r="BK222" s="261"/>
      <c r="BL222" s="261"/>
      <c r="BM222" s="261"/>
      <c r="BN222" s="261"/>
      <c r="BO222" s="261"/>
      <c r="BP222" s="261"/>
      <c r="BQ222" s="261"/>
      <c r="BR222" s="261"/>
      <c r="BS222" s="261"/>
      <c r="BT222" s="261"/>
      <c r="BU222" s="261"/>
      <c r="BV222" s="261"/>
      <c r="BW222" s="261"/>
    </row>
    <row r="223" spans="1:75" ht="15.05" customHeight="1">
      <c r="B223" s="230"/>
      <c r="C223" s="230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315"/>
      <c r="O223" s="315"/>
      <c r="P223" s="389">
        <f t="shared" si="36"/>
        <v>2100</v>
      </c>
      <c r="Q223" s="390">
        <f t="shared" si="37"/>
        <v>1050</v>
      </c>
      <c r="R223" s="206">
        <f t="shared" si="38"/>
        <v>19</v>
      </c>
      <c r="S223" s="315"/>
      <c r="T223" s="317">
        <f t="shared" si="39"/>
        <v>17</v>
      </c>
      <c r="U223" s="317">
        <f t="shared" si="39"/>
        <v>15</v>
      </c>
      <c r="V223" s="317"/>
      <c r="W223" s="317">
        <f t="shared" si="33"/>
        <v>111</v>
      </c>
      <c r="X223" s="315"/>
      <c r="Y223" s="317"/>
      <c r="Z223" s="315"/>
      <c r="AA223" s="317"/>
      <c r="AB223" s="315"/>
      <c r="AC223" s="315"/>
      <c r="AD223" s="206">
        <f t="shared" si="35"/>
        <v>108</v>
      </c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20"/>
      <c r="AR223" s="317"/>
      <c r="AS223" s="319"/>
      <c r="AT223" s="319"/>
      <c r="AU223" s="319"/>
      <c r="AV223" s="319"/>
      <c r="AW223" s="319"/>
      <c r="AX223" s="319"/>
      <c r="AY223" s="319"/>
      <c r="AZ223" s="319"/>
      <c r="BA223" s="319"/>
      <c r="BB223" s="319"/>
      <c r="BC223" s="319"/>
      <c r="BD223" s="319"/>
      <c r="BE223" s="319"/>
      <c r="BF223" s="319"/>
      <c r="BG223" s="319"/>
      <c r="BH223" s="319"/>
      <c r="BI223" s="261"/>
      <c r="BJ223" s="261"/>
      <c r="BK223" s="261"/>
      <c r="BL223" s="261"/>
      <c r="BM223" s="261"/>
      <c r="BN223" s="261"/>
      <c r="BO223" s="261"/>
      <c r="BP223" s="261"/>
      <c r="BQ223" s="261"/>
      <c r="BR223" s="261"/>
      <c r="BS223" s="261"/>
      <c r="BT223" s="261"/>
      <c r="BU223" s="261"/>
      <c r="BV223" s="261"/>
      <c r="BW223" s="261"/>
    </row>
    <row r="224" spans="1:75" ht="15.05" customHeight="1">
      <c r="B224" s="230"/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315"/>
      <c r="O224" s="315"/>
      <c r="P224" s="389">
        <f t="shared" si="36"/>
        <v>2200</v>
      </c>
      <c r="Q224" s="390">
        <f t="shared" si="37"/>
        <v>1100</v>
      </c>
      <c r="R224" s="206">
        <f t="shared" si="38"/>
        <v>20</v>
      </c>
      <c r="S224" s="315"/>
      <c r="T224" s="317">
        <f t="shared" si="39"/>
        <v>18</v>
      </c>
      <c r="U224" s="317">
        <f t="shared" si="39"/>
        <v>16</v>
      </c>
      <c r="V224" s="317"/>
      <c r="W224" s="317">
        <f t="shared" si="33"/>
        <v>112</v>
      </c>
      <c r="X224" s="315"/>
      <c r="Y224" s="317"/>
      <c r="Z224" s="315"/>
      <c r="AA224" s="317"/>
      <c r="AB224" s="315"/>
      <c r="AC224" s="315"/>
      <c r="AD224" s="206">
        <f t="shared" si="35"/>
        <v>109</v>
      </c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20"/>
      <c r="AR224" s="317"/>
      <c r="AS224" s="319"/>
      <c r="AT224" s="319"/>
      <c r="AU224" s="319"/>
      <c r="AV224" s="319"/>
      <c r="AW224" s="319"/>
      <c r="AX224" s="319"/>
      <c r="AY224" s="319"/>
      <c r="AZ224" s="319"/>
      <c r="BA224" s="319"/>
      <c r="BB224" s="319"/>
      <c r="BC224" s="319"/>
      <c r="BD224" s="319"/>
      <c r="BE224" s="319"/>
      <c r="BF224" s="319"/>
      <c r="BG224" s="319"/>
      <c r="BH224" s="319"/>
      <c r="BI224" s="261"/>
      <c r="BJ224" s="261"/>
      <c r="BK224" s="261"/>
      <c r="BL224" s="261"/>
      <c r="BM224" s="261"/>
      <c r="BN224" s="261"/>
      <c r="BO224" s="261"/>
      <c r="BP224" s="261"/>
      <c r="BQ224" s="261"/>
      <c r="BR224" s="261"/>
      <c r="BS224" s="261"/>
      <c r="BT224" s="261"/>
      <c r="BU224" s="261"/>
      <c r="BV224" s="261"/>
      <c r="BW224" s="261"/>
    </row>
    <row r="225" spans="2:75" ht="15.05" customHeight="1">
      <c r="B225" s="230"/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315"/>
      <c r="O225" s="315"/>
      <c r="P225" s="389">
        <f t="shared" si="36"/>
        <v>2300</v>
      </c>
      <c r="Q225" s="390">
        <f t="shared" si="37"/>
        <v>1150</v>
      </c>
      <c r="R225" s="206">
        <f t="shared" si="38"/>
        <v>21</v>
      </c>
      <c r="S225" s="315"/>
      <c r="T225" s="317">
        <f t="shared" si="39"/>
        <v>19</v>
      </c>
      <c r="U225" s="317">
        <f t="shared" si="39"/>
        <v>17</v>
      </c>
      <c r="V225" s="317"/>
      <c r="W225" s="317">
        <f t="shared" si="33"/>
        <v>113</v>
      </c>
      <c r="X225" s="315"/>
      <c r="Y225" s="317"/>
      <c r="Z225" s="315"/>
      <c r="AA225" s="317"/>
      <c r="AB225" s="315"/>
      <c r="AC225" s="315"/>
      <c r="AD225" s="206">
        <f t="shared" si="35"/>
        <v>110</v>
      </c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20"/>
      <c r="AR225" s="317"/>
      <c r="AS225" s="319"/>
      <c r="AT225" s="319"/>
      <c r="AU225" s="319"/>
      <c r="AV225" s="319"/>
      <c r="AW225" s="319"/>
      <c r="AX225" s="319"/>
      <c r="AY225" s="319"/>
      <c r="AZ225" s="319"/>
      <c r="BA225" s="319"/>
      <c r="BB225" s="319"/>
      <c r="BC225" s="319"/>
      <c r="BD225" s="319"/>
      <c r="BE225" s="319"/>
      <c r="BF225" s="319"/>
      <c r="BG225" s="319"/>
      <c r="BH225" s="319"/>
      <c r="BI225" s="261"/>
      <c r="BJ225" s="261"/>
      <c r="BK225" s="261"/>
      <c r="BL225" s="261"/>
      <c r="BM225" s="261"/>
      <c r="BN225" s="261"/>
      <c r="BO225" s="261"/>
      <c r="BP225" s="261"/>
      <c r="BQ225" s="261"/>
      <c r="BR225" s="261"/>
      <c r="BS225" s="261"/>
      <c r="BT225" s="261"/>
      <c r="BU225" s="261"/>
      <c r="BV225" s="261"/>
      <c r="BW225" s="261"/>
    </row>
    <row r="226" spans="2:75" ht="15.05" customHeight="1">
      <c r="B226" s="230"/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315"/>
      <c r="O226" s="315"/>
      <c r="P226" s="389">
        <f t="shared" si="36"/>
        <v>2400</v>
      </c>
      <c r="Q226" s="390">
        <f t="shared" si="37"/>
        <v>1200</v>
      </c>
      <c r="R226" s="206">
        <f t="shared" si="38"/>
        <v>22</v>
      </c>
      <c r="S226" s="315"/>
      <c r="T226" s="317">
        <f t="shared" si="39"/>
        <v>20</v>
      </c>
      <c r="U226" s="317">
        <f t="shared" si="39"/>
        <v>18</v>
      </c>
      <c r="V226" s="317"/>
      <c r="W226" s="317">
        <f t="shared" si="33"/>
        <v>114</v>
      </c>
      <c r="X226" s="315"/>
      <c r="Y226" s="317"/>
      <c r="Z226" s="315"/>
      <c r="AA226" s="317"/>
      <c r="AB226" s="315"/>
      <c r="AC226" s="315"/>
      <c r="AD226" s="206">
        <f t="shared" si="35"/>
        <v>111</v>
      </c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20"/>
      <c r="AR226" s="317"/>
      <c r="AS226" s="319"/>
      <c r="AT226" s="319"/>
      <c r="AU226" s="319"/>
      <c r="AV226" s="319"/>
      <c r="AW226" s="319"/>
      <c r="AX226" s="319"/>
      <c r="AY226" s="319"/>
      <c r="AZ226" s="319"/>
      <c r="BA226" s="319"/>
      <c r="BB226" s="319"/>
      <c r="BC226" s="319"/>
      <c r="BD226" s="319"/>
      <c r="BE226" s="319"/>
      <c r="BF226" s="319"/>
      <c r="BG226" s="319"/>
      <c r="BH226" s="319"/>
      <c r="BI226" s="261"/>
      <c r="BJ226" s="261"/>
      <c r="BK226" s="261"/>
      <c r="BL226" s="261"/>
      <c r="BM226" s="261"/>
      <c r="BN226" s="261"/>
      <c r="BO226" s="261"/>
      <c r="BP226" s="261"/>
      <c r="BQ226" s="261"/>
      <c r="BR226" s="261"/>
      <c r="BS226" s="261"/>
      <c r="BT226" s="261"/>
      <c r="BU226" s="261"/>
      <c r="BV226" s="261"/>
      <c r="BW226" s="261"/>
    </row>
    <row r="227" spans="2:75" ht="15.05" customHeight="1">
      <c r="B227" s="230"/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315"/>
      <c r="O227" s="315"/>
      <c r="P227" s="389">
        <f t="shared" si="36"/>
        <v>2500</v>
      </c>
      <c r="Q227" s="390">
        <f t="shared" si="37"/>
        <v>1250</v>
      </c>
      <c r="R227" s="206">
        <f t="shared" si="38"/>
        <v>23</v>
      </c>
      <c r="S227" s="315"/>
      <c r="T227" s="317">
        <f t="shared" si="39"/>
        <v>21</v>
      </c>
      <c r="U227" s="317">
        <f t="shared" si="39"/>
        <v>19</v>
      </c>
      <c r="V227" s="317"/>
      <c r="W227" s="317">
        <f t="shared" si="33"/>
        <v>115</v>
      </c>
      <c r="X227" s="315"/>
      <c r="Y227" s="317"/>
      <c r="Z227" s="315"/>
      <c r="AA227" s="317"/>
      <c r="AB227" s="315"/>
      <c r="AC227" s="315"/>
      <c r="AD227" s="206">
        <f t="shared" si="35"/>
        <v>112</v>
      </c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20"/>
      <c r="AR227" s="317"/>
      <c r="AS227" s="319"/>
      <c r="AT227" s="319"/>
      <c r="AU227" s="319"/>
      <c r="AV227" s="319"/>
      <c r="AW227" s="319"/>
      <c r="AX227" s="319"/>
      <c r="AY227" s="319"/>
      <c r="AZ227" s="319"/>
      <c r="BA227" s="319"/>
      <c r="BB227" s="319"/>
      <c r="BC227" s="319"/>
      <c r="BD227" s="319"/>
      <c r="BE227" s="319"/>
      <c r="BF227" s="319"/>
      <c r="BG227" s="319"/>
      <c r="BH227" s="319"/>
      <c r="BI227" s="261"/>
      <c r="BJ227" s="261"/>
      <c r="BK227" s="261"/>
      <c r="BL227" s="261"/>
      <c r="BM227" s="261"/>
      <c r="BN227" s="261"/>
      <c r="BO227" s="261"/>
      <c r="BP227" s="261"/>
      <c r="BQ227" s="261"/>
      <c r="BR227" s="261"/>
      <c r="BS227" s="261"/>
      <c r="BT227" s="261"/>
      <c r="BU227" s="261"/>
      <c r="BV227" s="261"/>
      <c r="BW227" s="261"/>
    </row>
    <row r="228" spans="2:75" ht="15.05" customHeight="1">
      <c r="B228" s="230"/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315"/>
      <c r="O228" s="315"/>
      <c r="P228" s="389">
        <f t="shared" si="36"/>
        <v>2600</v>
      </c>
      <c r="Q228" s="390">
        <f t="shared" si="37"/>
        <v>1300</v>
      </c>
      <c r="R228" s="206">
        <f t="shared" si="38"/>
        <v>24</v>
      </c>
      <c r="S228" s="315"/>
      <c r="T228" s="317">
        <f t="shared" si="39"/>
        <v>22</v>
      </c>
      <c r="U228" s="317">
        <f t="shared" si="39"/>
        <v>20</v>
      </c>
      <c r="V228" s="317"/>
      <c r="W228" s="317">
        <f t="shared" si="33"/>
        <v>116</v>
      </c>
      <c r="X228" s="315"/>
      <c r="Y228" s="317"/>
      <c r="Z228" s="315"/>
      <c r="AA228" s="317"/>
      <c r="AB228" s="315"/>
      <c r="AC228" s="315"/>
      <c r="AD228" s="206">
        <f t="shared" si="35"/>
        <v>113</v>
      </c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20"/>
      <c r="AR228" s="317"/>
      <c r="AS228" s="319"/>
      <c r="AT228" s="319"/>
      <c r="AU228" s="319"/>
      <c r="AV228" s="319"/>
      <c r="AW228" s="319"/>
      <c r="AX228" s="319"/>
      <c r="AY228" s="319"/>
      <c r="AZ228" s="319"/>
      <c r="BA228" s="319"/>
      <c r="BB228" s="319"/>
      <c r="BC228" s="319"/>
      <c r="BD228" s="319"/>
      <c r="BE228" s="319"/>
      <c r="BF228" s="319"/>
      <c r="BG228" s="319"/>
      <c r="BH228" s="319"/>
      <c r="BI228" s="261"/>
      <c r="BJ228" s="261"/>
      <c r="BK228" s="261"/>
      <c r="BL228" s="261"/>
      <c r="BM228" s="261"/>
      <c r="BN228" s="261"/>
      <c r="BO228" s="261"/>
      <c r="BP228" s="261"/>
      <c r="BQ228" s="261"/>
      <c r="BR228" s="261"/>
      <c r="BS228" s="261"/>
      <c r="BT228" s="261"/>
      <c r="BU228" s="261"/>
      <c r="BV228" s="261"/>
      <c r="BW228" s="261"/>
    </row>
    <row r="229" spans="2:75" ht="15.05" customHeight="1">
      <c r="B229" s="230"/>
      <c r="C229" s="230"/>
      <c r="D229" s="230"/>
      <c r="E229" s="230"/>
      <c r="F229" s="230"/>
      <c r="G229" s="230"/>
      <c r="H229" s="230"/>
      <c r="I229" s="230"/>
      <c r="J229" s="230"/>
      <c r="K229" s="230"/>
      <c r="L229" s="230"/>
      <c r="M229" s="230"/>
      <c r="N229" s="315"/>
      <c r="O229" s="315"/>
      <c r="P229" s="389">
        <f t="shared" si="36"/>
        <v>2700</v>
      </c>
      <c r="Q229" s="390">
        <f t="shared" si="37"/>
        <v>1350</v>
      </c>
      <c r="R229" s="206">
        <f t="shared" si="38"/>
        <v>25</v>
      </c>
      <c r="S229" s="315"/>
      <c r="T229" s="317">
        <f t="shared" si="39"/>
        <v>23</v>
      </c>
      <c r="U229" s="317">
        <f t="shared" si="39"/>
        <v>21</v>
      </c>
      <c r="V229" s="317"/>
      <c r="W229" s="317">
        <f t="shared" si="33"/>
        <v>117</v>
      </c>
      <c r="X229" s="315"/>
      <c r="Y229" s="317"/>
      <c r="Z229" s="315"/>
      <c r="AA229" s="317"/>
      <c r="AB229" s="315"/>
      <c r="AC229" s="315"/>
      <c r="AD229" s="206">
        <f t="shared" si="35"/>
        <v>114</v>
      </c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20"/>
      <c r="AR229" s="317"/>
      <c r="AS229" s="319"/>
      <c r="AT229" s="319"/>
      <c r="AU229" s="319"/>
      <c r="AV229" s="319"/>
      <c r="AW229" s="319"/>
      <c r="AX229" s="319"/>
      <c r="AY229" s="319"/>
      <c r="AZ229" s="319"/>
      <c r="BA229" s="319"/>
      <c r="BB229" s="319"/>
      <c r="BC229" s="319"/>
      <c r="BD229" s="319"/>
      <c r="BE229" s="319"/>
      <c r="BF229" s="319"/>
      <c r="BG229" s="319"/>
      <c r="BH229" s="319"/>
      <c r="BI229" s="261"/>
      <c r="BJ229" s="261"/>
      <c r="BK229" s="261"/>
      <c r="BL229" s="261"/>
      <c r="BM229" s="261"/>
      <c r="BN229" s="261"/>
      <c r="BO229" s="261"/>
      <c r="BP229" s="261"/>
      <c r="BQ229" s="261"/>
      <c r="BR229" s="261"/>
      <c r="BS229" s="261"/>
      <c r="BT229" s="261"/>
      <c r="BU229" s="261"/>
      <c r="BV229" s="261"/>
      <c r="BW229" s="261"/>
    </row>
    <row r="230" spans="2:75" ht="15.05" customHeight="1">
      <c r="B230" s="230"/>
      <c r="C230" s="230"/>
      <c r="D230" s="230"/>
      <c r="E230" s="230"/>
      <c r="F230" s="230"/>
      <c r="G230" s="230"/>
      <c r="H230" s="230"/>
      <c r="I230" s="230"/>
      <c r="J230" s="230"/>
      <c r="K230" s="230"/>
      <c r="L230" s="230"/>
      <c r="M230" s="230"/>
      <c r="N230" s="315"/>
      <c r="O230" s="315"/>
      <c r="P230" s="389">
        <f t="shared" si="36"/>
        <v>2800</v>
      </c>
      <c r="Q230" s="390">
        <f t="shared" si="37"/>
        <v>1400</v>
      </c>
      <c r="R230" s="206">
        <f t="shared" si="38"/>
        <v>26</v>
      </c>
      <c r="S230" s="315"/>
      <c r="T230" s="317">
        <f t="shared" si="39"/>
        <v>24</v>
      </c>
      <c r="U230" s="317">
        <f t="shared" si="39"/>
        <v>22</v>
      </c>
      <c r="V230" s="317"/>
      <c r="W230" s="317">
        <f t="shared" si="33"/>
        <v>118</v>
      </c>
      <c r="X230" s="315"/>
      <c r="Y230" s="317"/>
      <c r="Z230" s="315"/>
      <c r="AA230" s="317"/>
      <c r="AB230" s="315"/>
      <c r="AC230" s="315"/>
      <c r="AD230" s="206">
        <f t="shared" si="35"/>
        <v>115</v>
      </c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20"/>
      <c r="AR230" s="317"/>
      <c r="AS230" s="319"/>
      <c r="AT230" s="319"/>
      <c r="AU230" s="319"/>
      <c r="AV230" s="319"/>
      <c r="AW230" s="319"/>
      <c r="AX230" s="319"/>
      <c r="AY230" s="319"/>
      <c r="AZ230" s="319"/>
      <c r="BA230" s="319"/>
      <c r="BB230" s="319"/>
      <c r="BC230" s="319"/>
      <c r="BD230" s="319"/>
      <c r="BE230" s="319"/>
      <c r="BF230" s="319"/>
      <c r="BG230" s="319"/>
      <c r="BH230" s="319"/>
      <c r="BI230" s="261"/>
      <c r="BJ230" s="261"/>
      <c r="BK230" s="261"/>
      <c r="BL230" s="261"/>
      <c r="BM230" s="261"/>
      <c r="BN230" s="261"/>
      <c r="BO230" s="261"/>
      <c r="BP230" s="261"/>
      <c r="BQ230" s="261"/>
      <c r="BR230" s="261"/>
      <c r="BS230" s="261"/>
      <c r="BT230" s="261"/>
      <c r="BU230" s="261"/>
      <c r="BV230" s="261"/>
      <c r="BW230" s="261"/>
    </row>
    <row r="231" spans="2:75" ht="15.05" customHeight="1">
      <c r="B231" s="230"/>
      <c r="C231" s="230"/>
      <c r="D231" s="230"/>
      <c r="E231" s="230"/>
      <c r="F231" s="230"/>
      <c r="G231" s="230"/>
      <c r="H231" s="230"/>
      <c r="I231" s="230"/>
      <c r="J231" s="230"/>
      <c r="K231" s="230"/>
      <c r="L231" s="230"/>
      <c r="M231" s="230"/>
      <c r="N231" s="315"/>
      <c r="O231" s="315"/>
      <c r="P231" s="389">
        <f t="shared" si="36"/>
        <v>2900</v>
      </c>
      <c r="Q231" s="390">
        <f t="shared" si="37"/>
        <v>1450</v>
      </c>
      <c r="R231" s="206">
        <f t="shared" si="38"/>
        <v>27</v>
      </c>
      <c r="S231" s="315"/>
      <c r="T231" s="317">
        <f t="shared" si="39"/>
        <v>25</v>
      </c>
      <c r="U231" s="317">
        <f t="shared" si="39"/>
        <v>23</v>
      </c>
      <c r="V231" s="317"/>
      <c r="W231" s="317">
        <f t="shared" si="33"/>
        <v>119</v>
      </c>
      <c r="X231" s="315"/>
      <c r="Y231" s="317"/>
      <c r="Z231" s="315"/>
      <c r="AA231" s="317"/>
      <c r="AB231" s="315"/>
      <c r="AC231" s="315"/>
      <c r="AD231" s="206">
        <f t="shared" si="35"/>
        <v>116</v>
      </c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20"/>
      <c r="AR231" s="317"/>
      <c r="AS231" s="319"/>
      <c r="AT231" s="319"/>
      <c r="AU231" s="319"/>
      <c r="AV231" s="319"/>
      <c r="AW231" s="319"/>
      <c r="AX231" s="319"/>
      <c r="AY231" s="319"/>
      <c r="AZ231" s="319"/>
      <c r="BA231" s="319"/>
      <c r="BB231" s="319"/>
      <c r="BC231" s="319"/>
      <c r="BD231" s="319"/>
      <c r="BE231" s="319"/>
      <c r="BF231" s="319"/>
      <c r="BG231" s="319"/>
      <c r="BH231" s="319"/>
      <c r="BI231" s="261"/>
      <c r="BJ231" s="261"/>
      <c r="BK231" s="261"/>
      <c r="BL231" s="261"/>
      <c r="BM231" s="261"/>
      <c r="BN231" s="261"/>
      <c r="BO231" s="261"/>
      <c r="BP231" s="261"/>
      <c r="BQ231" s="261"/>
      <c r="BR231" s="261"/>
      <c r="BS231" s="261"/>
      <c r="BT231" s="261"/>
      <c r="BU231" s="261"/>
      <c r="BV231" s="261"/>
      <c r="BW231" s="261"/>
    </row>
    <row r="232" spans="2:75" ht="15.05" customHeight="1">
      <c r="B232" s="230"/>
      <c r="C232" s="230"/>
      <c r="D232" s="230"/>
      <c r="E232" s="230"/>
      <c r="F232" s="230"/>
      <c r="G232" s="230"/>
      <c r="H232" s="230"/>
      <c r="I232" s="230"/>
      <c r="J232" s="230"/>
      <c r="K232" s="230"/>
      <c r="L232" s="230"/>
      <c r="M232" s="230"/>
      <c r="N232" s="315"/>
      <c r="O232" s="315"/>
      <c r="P232" s="389">
        <f t="shared" si="36"/>
        <v>3000</v>
      </c>
      <c r="Q232" s="390">
        <f t="shared" si="37"/>
        <v>1500</v>
      </c>
      <c r="R232" s="206">
        <f t="shared" si="38"/>
        <v>28</v>
      </c>
      <c r="S232" s="315"/>
      <c r="T232" s="317">
        <f t="shared" si="39"/>
        <v>26</v>
      </c>
      <c r="U232" s="317">
        <f t="shared" si="39"/>
        <v>24</v>
      </c>
      <c r="V232" s="317"/>
      <c r="W232" s="317">
        <f t="shared" si="33"/>
        <v>120</v>
      </c>
      <c r="X232" s="315"/>
      <c r="Y232" s="317"/>
      <c r="Z232" s="315"/>
      <c r="AA232" s="317"/>
      <c r="AB232" s="315"/>
      <c r="AC232" s="315"/>
      <c r="AD232" s="206">
        <f t="shared" si="35"/>
        <v>117</v>
      </c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20"/>
      <c r="AR232" s="317"/>
      <c r="AS232" s="319"/>
      <c r="AT232" s="319"/>
      <c r="AU232" s="319"/>
      <c r="AV232" s="319"/>
      <c r="AW232" s="319"/>
      <c r="AX232" s="319"/>
      <c r="AY232" s="319"/>
      <c r="AZ232" s="319"/>
      <c r="BA232" s="319"/>
      <c r="BB232" s="319"/>
      <c r="BC232" s="319"/>
      <c r="BD232" s="319"/>
      <c r="BE232" s="319"/>
      <c r="BF232" s="319"/>
      <c r="BG232" s="319"/>
      <c r="BH232" s="319"/>
      <c r="BI232" s="261"/>
      <c r="BJ232" s="261"/>
      <c r="BK232" s="261"/>
      <c r="BL232" s="261"/>
      <c r="BM232" s="261"/>
      <c r="BN232" s="261"/>
      <c r="BO232" s="261"/>
      <c r="BP232" s="261"/>
      <c r="BQ232" s="261"/>
      <c r="BR232" s="261"/>
      <c r="BS232" s="261"/>
      <c r="BT232" s="261"/>
      <c r="BU232" s="261"/>
      <c r="BV232" s="261"/>
      <c r="BW232" s="261"/>
    </row>
    <row r="233" spans="2:75" ht="15.05" customHeight="1">
      <c r="B233" s="230"/>
      <c r="C233" s="230"/>
      <c r="D233" s="230"/>
      <c r="E233" s="230"/>
      <c r="F233" s="230"/>
      <c r="G233" s="230"/>
      <c r="H233" s="230"/>
      <c r="I233" s="230"/>
      <c r="J233" s="230"/>
      <c r="K233" s="230"/>
      <c r="L233" s="230"/>
      <c r="M233" s="230"/>
      <c r="N233" s="315"/>
      <c r="O233" s="315"/>
      <c r="P233" s="389">
        <f t="shared" si="36"/>
        <v>3100</v>
      </c>
      <c r="Q233" s="390">
        <f t="shared" si="37"/>
        <v>1550</v>
      </c>
      <c r="R233" s="206">
        <f t="shared" si="38"/>
        <v>29</v>
      </c>
      <c r="S233" s="315"/>
      <c r="T233" s="317">
        <f t="shared" si="39"/>
        <v>27</v>
      </c>
      <c r="U233" s="317">
        <f t="shared" si="39"/>
        <v>25</v>
      </c>
      <c r="V233" s="317"/>
      <c r="W233" s="315"/>
      <c r="X233" s="317"/>
      <c r="Y233" s="315"/>
      <c r="Z233" s="315"/>
      <c r="AA233" s="315"/>
      <c r="AB233" s="315"/>
      <c r="AC233" s="315"/>
      <c r="AD233" s="206">
        <f t="shared" si="35"/>
        <v>118</v>
      </c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20"/>
      <c r="AR233" s="317"/>
      <c r="AS233" s="319"/>
      <c r="AT233" s="319"/>
      <c r="AU233" s="319"/>
      <c r="AV233" s="319"/>
      <c r="AW233" s="319"/>
      <c r="AX233" s="319"/>
      <c r="AY233" s="319"/>
      <c r="AZ233" s="319"/>
      <c r="BA233" s="319"/>
      <c r="BB233" s="319"/>
      <c r="BC233" s="319"/>
      <c r="BD233" s="319"/>
      <c r="BE233" s="319"/>
      <c r="BF233" s="319"/>
      <c r="BG233" s="319"/>
      <c r="BH233" s="319"/>
      <c r="BI233" s="261"/>
      <c r="BJ233" s="261"/>
      <c r="BK233" s="261"/>
      <c r="BL233" s="261"/>
      <c r="BM233" s="261"/>
      <c r="BN233" s="261"/>
      <c r="BO233" s="261"/>
      <c r="BP233" s="261"/>
      <c r="BQ233" s="261"/>
      <c r="BR233" s="261"/>
      <c r="BS233" s="261"/>
      <c r="BT233" s="261"/>
      <c r="BU233" s="261"/>
      <c r="BV233" s="261"/>
      <c r="BW233" s="261"/>
    </row>
    <row r="234" spans="2:75" ht="15.05" customHeight="1">
      <c r="B234" s="230"/>
      <c r="C234" s="230"/>
      <c r="D234" s="230"/>
      <c r="E234" s="230"/>
      <c r="F234" s="230"/>
      <c r="G234" s="230"/>
      <c r="H234" s="230"/>
      <c r="I234" s="230"/>
      <c r="J234" s="230"/>
      <c r="K234" s="230"/>
      <c r="L234" s="230"/>
      <c r="M234" s="230"/>
      <c r="N234" s="315"/>
      <c r="O234" s="315"/>
      <c r="P234" s="389">
        <f t="shared" si="36"/>
        <v>3200</v>
      </c>
      <c r="Q234" s="390">
        <f t="shared" si="37"/>
        <v>1600</v>
      </c>
      <c r="R234" s="206">
        <f t="shared" si="38"/>
        <v>30</v>
      </c>
      <c r="S234" s="315"/>
      <c r="T234" s="317">
        <f t="shared" si="39"/>
        <v>28</v>
      </c>
      <c r="U234" s="317">
        <f t="shared" si="39"/>
        <v>26</v>
      </c>
      <c r="V234" s="317"/>
      <c r="W234" s="315"/>
      <c r="X234" s="317"/>
      <c r="Y234" s="315"/>
      <c r="Z234" s="315"/>
      <c r="AA234" s="315"/>
      <c r="AB234" s="315"/>
      <c r="AC234" s="315"/>
      <c r="AD234" s="206">
        <f t="shared" si="35"/>
        <v>119</v>
      </c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20"/>
      <c r="AR234" s="317"/>
      <c r="AS234" s="319"/>
      <c r="AT234" s="319"/>
      <c r="AU234" s="319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19"/>
      <c r="BI234" s="261"/>
      <c r="BJ234" s="261"/>
      <c r="BK234" s="261"/>
      <c r="BL234" s="261"/>
      <c r="BM234" s="261"/>
      <c r="BN234" s="261"/>
      <c r="BO234" s="261"/>
      <c r="BP234" s="261"/>
      <c r="BQ234" s="261"/>
      <c r="BR234" s="261"/>
      <c r="BS234" s="261"/>
      <c r="BT234" s="261"/>
      <c r="BU234" s="261"/>
      <c r="BV234" s="261"/>
      <c r="BW234" s="261"/>
    </row>
    <row r="235" spans="2:75" ht="15.05" customHeight="1">
      <c r="B235" s="230"/>
      <c r="C235" s="230"/>
      <c r="D235" s="230"/>
      <c r="E235" s="230"/>
      <c r="F235" s="230"/>
      <c r="G235" s="230"/>
      <c r="H235" s="230"/>
      <c r="I235" s="230"/>
      <c r="J235" s="230"/>
      <c r="K235" s="230"/>
      <c r="L235" s="230"/>
      <c r="M235" s="230"/>
      <c r="N235" s="315"/>
      <c r="O235" s="315"/>
      <c r="P235" s="389">
        <f t="shared" si="36"/>
        <v>3300</v>
      </c>
      <c r="Q235" s="390">
        <f t="shared" si="37"/>
        <v>1650</v>
      </c>
      <c r="R235" s="206">
        <f t="shared" si="38"/>
        <v>31</v>
      </c>
      <c r="S235" s="315"/>
      <c r="T235" s="317">
        <f t="shared" si="39"/>
        <v>29</v>
      </c>
      <c r="U235" s="317">
        <f t="shared" si="39"/>
        <v>27</v>
      </c>
      <c r="V235" s="317"/>
      <c r="W235" s="315"/>
      <c r="X235" s="317"/>
      <c r="Y235" s="315"/>
      <c r="Z235" s="315"/>
      <c r="AA235" s="315"/>
      <c r="AB235" s="315"/>
      <c r="AC235" s="315"/>
      <c r="AD235" s="206">
        <f t="shared" si="35"/>
        <v>120</v>
      </c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20"/>
      <c r="AR235" s="317"/>
      <c r="AS235" s="319"/>
      <c r="AT235" s="319"/>
      <c r="AU235" s="319"/>
      <c r="AV235" s="319"/>
      <c r="AW235" s="319"/>
      <c r="AX235" s="319"/>
      <c r="AY235" s="319"/>
      <c r="AZ235" s="319"/>
      <c r="BA235" s="319"/>
      <c r="BB235" s="319"/>
      <c r="BC235" s="319"/>
      <c r="BD235" s="319"/>
      <c r="BE235" s="319"/>
      <c r="BF235" s="319"/>
      <c r="BG235" s="319"/>
      <c r="BH235" s="319"/>
      <c r="BI235" s="261"/>
      <c r="BJ235" s="261"/>
      <c r="BK235" s="261"/>
      <c r="BL235" s="261"/>
      <c r="BM235" s="261"/>
      <c r="BN235" s="261"/>
      <c r="BO235" s="261"/>
      <c r="BP235" s="261"/>
      <c r="BQ235" s="261"/>
      <c r="BR235" s="261"/>
      <c r="BS235" s="261"/>
      <c r="BT235" s="261"/>
      <c r="BU235" s="261"/>
      <c r="BV235" s="261"/>
      <c r="BW235" s="261"/>
    </row>
    <row r="236" spans="2:75" ht="15.05" customHeight="1">
      <c r="B236" s="230"/>
      <c r="C236" s="230"/>
      <c r="D236" s="230"/>
      <c r="E236" s="230"/>
      <c r="F236" s="230"/>
      <c r="G236" s="230"/>
      <c r="H236" s="230"/>
      <c r="I236" s="230"/>
      <c r="J236" s="230"/>
      <c r="K236" s="230"/>
      <c r="L236" s="230"/>
      <c r="M236" s="230"/>
      <c r="N236" s="315"/>
      <c r="O236" s="315"/>
      <c r="P236" s="389">
        <f t="shared" si="36"/>
        <v>3400</v>
      </c>
      <c r="Q236" s="390">
        <f t="shared" si="37"/>
        <v>1700</v>
      </c>
      <c r="R236" s="206">
        <f t="shared" si="38"/>
        <v>32</v>
      </c>
      <c r="S236" s="315"/>
      <c r="T236" s="317">
        <f t="shared" si="39"/>
        <v>30</v>
      </c>
      <c r="U236" s="317">
        <f t="shared" si="39"/>
        <v>28</v>
      </c>
      <c r="V236" s="317"/>
      <c r="W236" s="315"/>
      <c r="X236" s="317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20"/>
      <c r="AR236" s="317"/>
      <c r="AS236" s="319"/>
      <c r="AT236" s="319"/>
      <c r="AU236" s="319"/>
      <c r="AV236" s="319"/>
      <c r="AW236" s="319"/>
      <c r="AX236" s="319"/>
      <c r="AY236" s="319"/>
      <c r="AZ236" s="319"/>
      <c r="BA236" s="319"/>
      <c r="BB236" s="319"/>
      <c r="BC236" s="319"/>
      <c r="BD236" s="319"/>
      <c r="BE236" s="319"/>
      <c r="BF236" s="319"/>
      <c r="BG236" s="319"/>
      <c r="BH236" s="319"/>
      <c r="BI236" s="261"/>
      <c r="BJ236" s="261"/>
      <c r="BK236" s="261"/>
      <c r="BL236" s="261"/>
      <c r="BM236" s="261"/>
      <c r="BN236" s="261"/>
      <c r="BO236" s="261"/>
      <c r="BP236" s="261"/>
      <c r="BQ236" s="261"/>
      <c r="BR236" s="261"/>
      <c r="BS236" s="261"/>
      <c r="BT236" s="261"/>
      <c r="BU236" s="261"/>
      <c r="BV236" s="261"/>
      <c r="BW236" s="261"/>
    </row>
    <row r="237" spans="2:75" ht="15.05" customHeight="1">
      <c r="B237" s="230"/>
      <c r="C237" s="230"/>
      <c r="D237" s="230"/>
      <c r="E237" s="230"/>
      <c r="F237" s="230"/>
      <c r="G237" s="230"/>
      <c r="H237" s="230"/>
      <c r="I237" s="230"/>
      <c r="J237" s="230"/>
      <c r="K237" s="230"/>
      <c r="L237" s="230"/>
      <c r="M237" s="230"/>
      <c r="N237" s="315"/>
      <c r="O237" s="315"/>
      <c r="P237" s="389">
        <f t="shared" si="36"/>
        <v>3500</v>
      </c>
      <c r="Q237" s="390">
        <f t="shared" si="37"/>
        <v>1750</v>
      </c>
      <c r="R237" s="206">
        <f t="shared" si="38"/>
        <v>33</v>
      </c>
      <c r="S237" s="315"/>
      <c r="T237" s="315"/>
      <c r="U237" s="317">
        <f>SUM(U236+1)</f>
        <v>29</v>
      </c>
      <c r="V237" s="317"/>
      <c r="W237" s="315"/>
      <c r="X237" s="317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20"/>
      <c r="AR237" s="317"/>
      <c r="AS237" s="319"/>
      <c r="AT237" s="319"/>
      <c r="AU237" s="319"/>
      <c r="AV237" s="319"/>
      <c r="AW237" s="319"/>
      <c r="AX237" s="319"/>
      <c r="AY237" s="319"/>
      <c r="AZ237" s="319"/>
      <c r="BA237" s="319"/>
      <c r="BB237" s="319"/>
      <c r="BC237" s="319"/>
      <c r="BD237" s="319"/>
      <c r="BE237" s="319"/>
      <c r="BF237" s="319"/>
      <c r="BG237" s="319"/>
      <c r="BH237" s="319"/>
      <c r="BI237" s="261"/>
      <c r="BJ237" s="261"/>
      <c r="BK237" s="261"/>
      <c r="BL237" s="261"/>
      <c r="BM237" s="261"/>
      <c r="BN237" s="261"/>
      <c r="BO237" s="261"/>
      <c r="BP237" s="261"/>
      <c r="BQ237" s="261"/>
      <c r="BR237" s="261"/>
      <c r="BS237" s="261"/>
      <c r="BT237" s="261"/>
      <c r="BU237" s="261"/>
      <c r="BV237" s="261"/>
      <c r="BW237" s="261"/>
    </row>
    <row r="238" spans="2:75" ht="15.05" customHeight="1">
      <c r="B238" s="230"/>
      <c r="C238" s="230"/>
      <c r="D238" s="230"/>
      <c r="E238" s="230"/>
      <c r="F238" s="230"/>
      <c r="G238" s="230"/>
      <c r="H238" s="230"/>
      <c r="I238" s="230"/>
      <c r="J238" s="230"/>
      <c r="K238" s="230"/>
      <c r="L238" s="230"/>
      <c r="M238" s="230"/>
      <c r="N238" s="315"/>
      <c r="O238" s="315"/>
      <c r="P238" s="389">
        <f t="shared" si="36"/>
        <v>3600</v>
      </c>
      <c r="Q238" s="390">
        <f t="shared" si="37"/>
        <v>1800</v>
      </c>
      <c r="R238" s="206">
        <f t="shared" si="38"/>
        <v>34</v>
      </c>
      <c r="S238" s="315"/>
      <c r="T238" s="315"/>
      <c r="U238" s="317">
        <f>SUM(U237+1)</f>
        <v>30</v>
      </c>
      <c r="V238" s="317"/>
      <c r="W238" s="315"/>
      <c r="X238" s="317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20"/>
      <c r="AR238" s="317"/>
      <c r="AS238" s="319"/>
      <c r="AT238" s="319"/>
      <c r="AU238" s="319"/>
      <c r="AV238" s="319"/>
      <c r="AW238" s="319"/>
      <c r="AX238" s="319"/>
      <c r="AY238" s="319"/>
      <c r="AZ238" s="319"/>
      <c r="BA238" s="319"/>
      <c r="BB238" s="319"/>
      <c r="BC238" s="319"/>
      <c r="BD238" s="319"/>
      <c r="BE238" s="319"/>
      <c r="BF238" s="319"/>
      <c r="BG238" s="319"/>
      <c r="BH238" s="319"/>
      <c r="BI238" s="261"/>
      <c r="BJ238" s="261"/>
      <c r="BK238" s="261"/>
      <c r="BL238" s="261"/>
      <c r="BM238" s="261"/>
      <c r="BN238" s="261"/>
      <c r="BO238" s="261"/>
      <c r="BP238" s="261"/>
      <c r="BQ238" s="261"/>
      <c r="BR238" s="261"/>
      <c r="BS238" s="261"/>
      <c r="BT238" s="261"/>
      <c r="BU238" s="261"/>
      <c r="BV238" s="261"/>
      <c r="BW238" s="261"/>
    </row>
    <row r="239" spans="2:75" ht="15.05" customHeight="1">
      <c r="B239" s="230"/>
      <c r="C239" s="230"/>
      <c r="D239" s="230"/>
      <c r="E239" s="230"/>
      <c r="F239" s="230"/>
      <c r="G239" s="230"/>
      <c r="H239" s="230"/>
      <c r="I239" s="230"/>
      <c r="J239" s="230"/>
      <c r="K239" s="230"/>
      <c r="L239" s="230"/>
      <c r="M239" s="230"/>
      <c r="N239" s="315"/>
      <c r="O239" s="315"/>
      <c r="P239" s="389">
        <f t="shared" si="36"/>
        <v>3700</v>
      </c>
      <c r="Q239" s="390">
        <f t="shared" si="37"/>
        <v>1850</v>
      </c>
      <c r="R239" s="206">
        <f t="shared" si="38"/>
        <v>35</v>
      </c>
      <c r="S239" s="315"/>
      <c r="T239" s="315"/>
      <c r="U239" s="315"/>
      <c r="V239" s="315"/>
      <c r="W239" s="315"/>
      <c r="X239" s="317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20"/>
      <c r="AR239" s="317"/>
      <c r="AS239" s="319"/>
      <c r="AT239" s="319"/>
      <c r="AU239" s="319"/>
      <c r="AV239" s="319"/>
      <c r="AW239" s="319"/>
      <c r="AX239" s="319"/>
      <c r="AY239" s="319"/>
      <c r="AZ239" s="319"/>
      <c r="BA239" s="319"/>
      <c r="BB239" s="319"/>
      <c r="BC239" s="319"/>
      <c r="BD239" s="319"/>
      <c r="BE239" s="319"/>
      <c r="BF239" s="319"/>
      <c r="BG239" s="319"/>
      <c r="BH239" s="319"/>
      <c r="BI239" s="261"/>
      <c r="BJ239" s="261"/>
      <c r="BK239" s="261"/>
      <c r="BL239" s="261"/>
      <c r="BM239" s="261"/>
      <c r="BN239" s="261"/>
      <c r="BO239" s="261"/>
      <c r="BP239" s="261"/>
      <c r="BQ239" s="261"/>
      <c r="BR239" s="261"/>
      <c r="BS239" s="261"/>
      <c r="BT239" s="261"/>
      <c r="BU239" s="261"/>
      <c r="BV239" s="261"/>
      <c r="BW239" s="261"/>
    </row>
    <row r="240" spans="2:75" ht="15.05" customHeight="1">
      <c r="B240" s="230"/>
      <c r="C240" s="230"/>
      <c r="D240" s="230"/>
      <c r="E240" s="230"/>
      <c r="F240" s="230"/>
      <c r="G240" s="230"/>
      <c r="H240" s="230"/>
      <c r="I240" s="230"/>
      <c r="J240" s="230"/>
      <c r="K240" s="230"/>
      <c r="L240" s="230"/>
      <c r="M240" s="230"/>
      <c r="N240" s="315"/>
      <c r="O240" s="315"/>
      <c r="P240" s="389">
        <f t="shared" si="36"/>
        <v>3800</v>
      </c>
      <c r="Q240" s="390">
        <f t="shared" si="37"/>
        <v>1900</v>
      </c>
      <c r="R240" s="206">
        <f t="shared" si="38"/>
        <v>36</v>
      </c>
      <c r="S240" s="315"/>
      <c r="T240" s="315"/>
      <c r="U240" s="315"/>
      <c r="V240" s="315"/>
      <c r="W240" s="315"/>
      <c r="X240" s="317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20"/>
      <c r="AR240" s="317"/>
      <c r="AS240" s="319"/>
      <c r="AT240" s="319"/>
      <c r="AU240" s="319"/>
      <c r="AV240" s="319"/>
      <c r="AW240" s="319"/>
      <c r="AX240" s="319"/>
      <c r="AY240" s="319"/>
      <c r="AZ240" s="319"/>
      <c r="BA240" s="319"/>
      <c r="BB240" s="319"/>
      <c r="BC240" s="319"/>
      <c r="BD240" s="319"/>
      <c r="BE240" s="319"/>
      <c r="BF240" s="319"/>
      <c r="BG240" s="319"/>
      <c r="BH240" s="319"/>
      <c r="BI240" s="261"/>
      <c r="BJ240" s="261"/>
      <c r="BK240" s="261"/>
      <c r="BL240" s="261"/>
      <c r="BM240" s="261"/>
      <c r="BN240" s="261"/>
      <c r="BO240" s="261"/>
      <c r="BP240" s="261"/>
      <c r="BQ240" s="261"/>
      <c r="BR240" s="261"/>
      <c r="BS240" s="261"/>
      <c r="BT240" s="261"/>
      <c r="BU240" s="261"/>
      <c r="BV240" s="261"/>
      <c r="BW240" s="261"/>
    </row>
    <row r="241" spans="2:75" ht="15.05" customHeight="1">
      <c r="B241" s="230"/>
      <c r="C241" s="230"/>
      <c r="D241" s="230"/>
      <c r="E241" s="230"/>
      <c r="F241" s="230"/>
      <c r="G241" s="230"/>
      <c r="H241" s="230"/>
      <c r="I241" s="230"/>
      <c r="J241" s="230"/>
      <c r="K241" s="230"/>
      <c r="L241" s="230"/>
      <c r="M241" s="230"/>
      <c r="N241" s="315"/>
      <c r="O241" s="315"/>
      <c r="P241" s="389">
        <f t="shared" si="36"/>
        <v>3900</v>
      </c>
      <c r="Q241" s="390">
        <f t="shared" si="37"/>
        <v>1950</v>
      </c>
      <c r="R241" s="206">
        <f t="shared" si="38"/>
        <v>37</v>
      </c>
      <c r="S241" s="315"/>
      <c r="T241" s="315"/>
      <c r="U241" s="315"/>
      <c r="V241" s="315"/>
      <c r="W241" s="315"/>
      <c r="X241" s="317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20"/>
      <c r="AR241" s="317"/>
      <c r="AS241" s="319"/>
      <c r="AT241" s="319"/>
      <c r="AU241" s="319"/>
      <c r="AV241" s="319"/>
      <c r="AW241" s="319"/>
      <c r="AX241" s="319"/>
      <c r="AY241" s="319"/>
      <c r="AZ241" s="319"/>
      <c r="BA241" s="319"/>
      <c r="BB241" s="319"/>
      <c r="BC241" s="319"/>
      <c r="BD241" s="319"/>
      <c r="BE241" s="319"/>
      <c r="BF241" s="319"/>
      <c r="BG241" s="319"/>
      <c r="BH241" s="319"/>
      <c r="BI241" s="261"/>
      <c r="BJ241" s="261"/>
      <c r="BK241" s="261"/>
      <c r="BL241" s="261"/>
      <c r="BM241" s="261"/>
      <c r="BN241" s="261"/>
      <c r="BO241" s="261"/>
      <c r="BP241" s="261"/>
      <c r="BQ241" s="261"/>
      <c r="BR241" s="261"/>
      <c r="BS241" s="261"/>
      <c r="BT241" s="261"/>
      <c r="BU241" s="261"/>
      <c r="BV241" s="261"/>
      <c r="BW241" s="261"/>
    </row>
    <row r="242" spans="2:75" ht="15.05" customHeight="1">
      <c r="B242" s="230"/>
      <c r="C242" s="230"/>
      <c r="D242" s="230"/>
      <c r="E242" s="230"/>
      <c r="F242" s="230"/>
      <c r="G242" s="230"/>
      <c r="H242" s="230"/>
      <c r="I242" s="230"/>
      <c r="J242" s="230"/>
      <c r="K242" s="230"/>
      <c r="L242" s="230"/>
      <c r="M242" s="230"/>
      <c r="N242" s="315"/>
      <c r="O242" s="315"/>
      <c r="P242" s="389">
        <f t="shared" si="36"/>
        <v>4000</v>
      </c>
      <c r="Q242" s="390">
        <f t="shared" si="37"/>
        <v>2000</v>
      </c>
      <c r="R242" s="206">
        <f t="shared" si="38"/>
        <v>38</v>
      </c>
      <c r="S242" s="315"/>
      <c r="T242" s="315"/>
      <c r="U242" s="315"/>
      <c r="V242" s="315"/>
      <c r="W242" s="315"/>
      <c r="X242" s="317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20"/>
      <c r="AR242" s="317"/>
      <c r="AS242" s="319"/>
      <c r="AT242" s="319"/>
      <c r="AU242" s="319"/>
      <c r="AV242" s="319"/>
      <c r="AW242" s="319"/>
      <c r="AX242" s="319"/>
      <c r="AY242" s="319"/>
      <c r="AZ242" s="319"/>
      <c r="BA242" s="319"/>
      <c r="BB242" s="319"/>
      <c r="BC242" s="319"/>
      <c r="BD242" s="319"/>
      <c r="BE242" s="319"/>
      <c r="BF242" s="319"/>
      <c r="BG242" s="319"/>
      <c r="BH242" s="319"/>
      <c r="BI242" s="261"/>
      <c r="BJ242" s="261"/>
      <c r="BK242" s="261"/>
      <c r="BL242" s="261"/>
      <c r="BM242" s="261"/>
      <c r="BN242" s="261"/>
      <c r="BO242" s="261"/>
      <c r="BP242" s="261"/>
      <c r="BQ242" s="261"/>
      <c r="BR242" s="261"/>
      <c r="BS242" s="261"/>
      <c r="BT242" s="261"/>
      <c r="BU242" s="261"/>
      <c r="BV242" s="261"/>
      <c r="BW242" s="261"/>
    </row>
    <row r="243" spans="2:75" ht="15.05" customHeight="1">
      <c r="B243" s="230"/>
      <c r="C243" s="230"/>
      <c r="D243" s="230"/>
      <c r="E243" s="230"/>
      <c r="F243" s="230"/>
      <c r="G243" s="230"/>
      <c r="H243" s="230"/>
      <c r="I243" s="230"/>
      <c r="J243" s="230"/>
      <c r="K243" s="230"/>
      <c r="L243" s="230"/>
      <c r="M243" s="230"/>
      <c r="N243" s="315"/>
      <c r="O243" s="315"/>
      <c r="P243" s="389">
        <f t="shared" si="36"/>
        <v>4100</v>
      </c>
      <c r="Q243" s="65"/>
      <c r="R243" s="206">
        <f t="shared" si="38"/>
        <v>39</v>
      </c>
      <c r="S243" s="315"/>
      <c r="T243" s="315"/>
      <c r="U243" s="315"/>
      <c r="V243" s="315"/>
      <c r="W243" s="315"/>
      <c r="X243" s="317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20"/>
      <c r="AR243" s="317"/>
      <c r="AS243" s="319"/>
      <c r="AT243" s="319"/>
      <c r="AU243" s="319"/>
      <c r="AV243" s="319"/>
      <c r="AW243" s="319"/>
      <c r="AX243" s="319"/>
      <c r="AY243" s="319"/>
      <c r="AZ243" s="319"/>
      <c r="BA243" s="319"/>
      <c r="BB243" s="319"/>
      <c r="BC243" s="319"/>
      <c r="BD243" s="319"/>
      <c r="BE243" s="319"/>
      <c r="BF243" s="319"/>
      <c r="BG243" s="319"/>
      <c r="BH243" s="319"/>
      <c r="BI243" s="261"/>
      <c r="BJ243" s="261"/>
      <c r="BK243" s="261"/>
      <c r="BL243" s="261"/>
      <c r="BM243" s="261"/>
      <c r="BN243" s="261"/>
      <c r="BO243" s="261"/>
      <c r="BP243" s="261"/>
      <c r="BQ243" s="261"/>
      <c r="BR243" s="261"/>
      <c r="BS243" s="261"/>
      <c r="BT243" s="261"/>
      <c r="BU243" s="261"/>
      <c r="BV243" s="261"/>
      <c r="BW243" s="261"/>
    </row>
    <row r="244" spans="2:75" ht="15.05" customHeight="1">
      <c r="B244" s="230"/>
      <c r="C244" s="230"/>
      <c r="D244" s="230"/>
      <c r="E244" s="230"/>
      <c r="F244" s="230"/>
      <c r="G244" s="230"/>
      <c r="H244" s="230"/>
      <c r="I244" s="230"/>
      <c r="J244" s="230"/>
      <c r="K244" s="230"/>
      <c r="L244" s="230"/>
      <c r="M244" s="230"/>
      <c r="N244" s="315"/>
      <c r="O244" s="315"/>
      <c r="P244" s="389">
        <f t="shared" si="36"/>
        <v>4200</v>
      </c>
      <c r="Q244" s="65"/>
      <c r="R244" s="206">
        <f t="shared" si="38"/>
        <v>40</v>
      </c>
      <c r="S244" s="315"/>
      <c r="T244" s="315"/>
      <c r="U244" s="315"/>
      <c r="V244" s="315"/>
      <c r="W244" s="315"/>
      <c r="X244" s="317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20"/>
      <c r="AR244" s="317"/>
      <c r="AS244" s="319"/>
      <c r="AT244" s="319"/>
      <c r="AU244" s="319"/>
      <c r="AV244" s="319"/>
      <c r="AW244" s="319"/>
      <c r="AX244" s="319"/>
      <c r="AY244" s="319"/>
      <c r="AZ244" s="319"/>
      <c r="BA244" s="319"/>
      <c r="BB244" s="319"/>
      <c r="BC244" s="319"/>
      <c r="BD244" s="319"/>
      <c r="BE244" s="319"/>
      <c r="BF244" s="319"/>
      <c r="BG244" s="319"/>
      <c r="BH244" s="319"/>
      <c r="BI244" s="261"/>
      <c r="BJ244" s="261"/>
      <c r="BK244" s="261"/>
      <c r="BL244" s="261"/>
      <c r="BM244" s="261"/>
      <c r="BN244" s="261"/>
      <c r="BO244" s="261"/>
      <c r="BP244" s="261"/>
      <c r="BQ244" s="261"/>
      <c r="BR244" s="261"/>
      <c r="BS244" s="261"/>
      <c r="BT244" s="261"/>
      <c r="BU244" s="261"/>
      <c r="BV244" s="261"/>
      <c r="BW244" s="261"/>
    </row>
    <row r="245" spans="2:75" ht="15.05" customHeight="1">
      <c r="B245" s="230"/>
      <c r="C245" s="230"/>
      <c r="D245" s="230"/>
      <c r="E245" s="230"/>
      <c r="F245" s="230"/>
      <c r="G245" s="230"/>
      <c r="H245" s="230"/>
      <c r="I245" s="230"/>
      <c r="J245" s="230"/>
      <c r="K245" s="230"/>
      <c r="L245" s="230"/>
      <c r="M245" s="230"/>
      <c r="N245" s="315"/>
      <c r="O245" s="315"/>
      <c r="P245" s="389">
        <f t="shared" si="36"/>
        <v>4300</v>
      </c>
      <c r="Q245" s="65"/>
      <c r="R245" s="206">
        <f t="shared" si="38"/>
        <v>41</v>
      </c>
      <c r="S245" s="315"/>
      <c r="T245" s="315"/>
      <c r="U245" s="315"/>
      <c r="V245" s="315"/>
      <c r="W245" s="315"/>
      <c r="X245" s="317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20"/>
      <c r="AR245" s="317"/>
      <c r="AS245" s="319"/>
      <c r="AT245" s="319"/>
      <c r="AU245" s="319"/>
      <c r="AV245" s="319"/>
      <c r="AW245" s="319"/>
      <c r="AX245" s="319"/>
      <c r="AY245" s="319"/>
      <c r="AZ245" s="319"/>
      <c r="BA245" s="319"/>
      <c r="BB245" s="319"/>
      <c r="BC245" s="319"/>
      <c r="BD245" s="319"/>
      <c r="BE245" s="319"/>
      <c r="BF245" s="319"/>
      <c r="BG245" s="319"/>
      <c r="BH245" s="319"/>
      <c r="BI245" s="261"/>
      <c r="BJ245" s="261"/>
      <c r="BK245" s="261"/>
      <c r="BL245" s="261"/>
      <c r="BM245" s="261"/>
      <c r="BN245" s="261"/>
      <c r="BO245" s="261"/>
      <c r="BP245" s="261"/>
      <c r="BQ245" s="261"/>
      <c r="BR245" s="261"/>
      <c r="BS245" s="261"/>
      <c r="BT245" s="261"/>
      <c r="BU245" s="261"/>
      <c r="BV245" s="261"/>
      <c r="BW245" s="261"/>
    </row>
    <row r="246" spans="2:75" ht="15.05" customHeight="1">
      <c r="B246" s="230"/>
      <c r="C246" s="230"/>
      <c r="D246" s="230"/>
      <c r="E246" s="230"/>
      <c r="F246" s="230"/>
      <c r="G246" s="230"/>
      <c r="H246" s="230"/>
      <c r="I246" s="230"/>
      <c r="J246" s="230"/>
      <c r="K246" s="230"/>
      <c r="L246" s="230"/>
      <c r="M246" s="230"/>
      <c r="N246" s="315"/>
      <c r="O246" s="315"/>
      <c r="P246" s="389">
        <f t="shared" si="36"/>
        <v>4400</v>
      </c>
      <c r="Q246" s="65"/>
      <c r="R246" s="206">
        <f t="shared" si="38"/>
        <v>42</v>
      </c>
      <c r="S246" s="315"/>
      <c r="T246" s="315"/>
      <c r="U246" s="315"/>
      <c r="V246" s="315"/>
      <c r="W246" s="315"/>
      <c r="X246" s="317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20"/>
      <c r="AR246" s="317"/>
      <c r="AS246" s="319"/>
      <c r="AT246" s="319"/>
      <c r="AU246" s="319"/>
      <c r="AV246" s="319"/>
      <c r="AW246" s="319"/>
      <c r="AX246" s="319"/>
      <c r="AY246" s="319"/>
      <c r="AZ246" s="319"/>
      <c r="BA246" s="319"/>
      <c r="BB246" s="319"/>
      <c r="BC246" s="319"/>
      <c r="BD246" s="319"/>
      <c r="BE246" s="319"/>
      <c r="BF246" s="319"/>
      <c r="BG246" s="319"/>
      <c r="BH246" s="319"/>
      <c r="BI246" s="261"/>
      <c r="BJ246" s="261"/>
      <c r="BK246" s="261"/>
      <c r="BL246" s="261"/>
      <c r="BM246" s="261"/>
      <c r="BN246" s="261"/>
      <c r="BO246" s="261"/>
      <c r="BP246" s="261"/>
      <c r="BQ246" s="261"/>
      <c r="BR246" s="261"/>
      <c r="BS246" s="261"/>
      <c r="BT246" s="261"/>
      <c r="BU246" s="261"/>
      <c r="BV246" s="261"/>
      <c r="BW246" s="261"/>
    </row>
    <row r="247" spans="2:75" ht="15.05" customHeight="1">
      <c r="B247" s="230"/>
      <c r="C247" s="230"/>
      <c r="D247" s="230"/>
      <c r="E247" s="230"/>
      <c r="F247" s="230"/>
      <c r="G247" s="230"/>
      <c r="H247" s="230"/>
      <c r="I247" s="230"/>
      <c r="J247" s="230"/>
      <c r="K247" s="230"/>
      <c r="L247" s="230"/>
      <c r="M247" s="230"/>
      <c r="N247" s="315"/>
      <c r="O247" s="315"/>
      <c r="P247" s="389">
        <f t="shared" si="36"/>
        <v>4500</v>
      </c>
      <c r="Q247" s="65"/>
      <c r="R247" s="206">
        <f t="shared" si="38"/>
        <v>43</v>
      </c>
      <c r="S247" s="315"/>
      <c r="T247" s="315"/>
      <c r="U247" s="315"/>
      <c r="V247" s="315"/>
      <c r="W247" s="315"/>
      <c r="X247" s="317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20"/>
      <c r="AR247" s="317"/>
      <c r="AS247" s="319"/>
      <c r="AT247" s="319"/>
      <c r="AU247" s="319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19"/>
      <c r="BI247" s="261"/>
      <c r="BJ247" s="261"/>
      <c r="BK247" s="261"/>
      <c r="BL247" s="261"/>
      <c r="BM247" s="261"/>
      <c r="BN247" s="261"/>
      <c r="BO247" s="261"/>
      <c r="BP247" s="261"/>
      <c r="BQ247" s="261"/>
      <c r="BR247" s="261"/>
      <c r="BS247" s="261"/>
      <c r="BT247" s="261"/>
      <c r="BU247" s="261"/>
      <c r="BV247" s="261"/>
      <c r="BW247" s="261"/>
    </row>
    <row r="248" spans="2:75" ht="15.05" customHeight="1">
      <c r="B248" s="230"/>
      <c r="C248" s="230"/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315"/>
      <c r="O248" s="315"/>
      <c r="P248" s="389">
        <f t="shared" si="36"/>
        <v>4600</v>
      </c>
      <c r="Q248" s="65"/>
      <c r="R248" s="206">
        <f t="shared" si="38"/>
        <v>44</v>
      </c>
      <c r="S248" s="315"/>
      <c r="T248" s="315"/>
      <c r="U248" s="315"/>
      <c r="V248" s="315"/>
      <c r="W248" s="315"/>
      <c r="X248" s="317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20"/>
      <c r="AR248" s="317"/>
      <c r="AS248" s="319"/>
      <c r="AT248" s="319"/>
      <c r="AU248" s="319"/>
      <c r="AV248" s="319"/>
      <c r="AW248" s="319"/>
      <c r="AX248" s="319"/>
      <c r="AY248" s="319"/>
      <c r="AZ248" s="319"/>
      <c r="BA248" s="319"/>
      <c r="BB248" s="319"/>
      <c r="BC248" s="319"/>
      <c r="BD248" s="319"/>
      <c r="BE248" s="319"/>
      <c r="BF248" s="319"/>
      <c r="BG248" s="319"/>
      <c r="BH248" s="319"/>
      <c r="BI248" s="261"/>
      <c r="BJ248" s="261"/>
      <c r="BK248" s="261"/>
      <c r="BL248" s="261"/>
      <c r="BM248" s="261"/>
      <c r="BN248" s="261"/>
      <c r="BO248" s="261"/>
      <c r="BP248" s="261"/>
      <c r="BQ248" s="261"/>
      <c r="BR248" s="261"/>
      <c r="BS248" s="261"/>
      <c r="BT248" s="261"/>
      <c r="BU248" s="261"/>
      <c r="BV248" s="261"/>
      <c r="BW248" s="261"/>
    </row>
    <row r="249" spans="2:75" ht="15.05" customHeight="1">
      <c r="B249" s="230"/>
      <c r="C249" s="230"/>
      <c r="D249" s="230"/>
      <c r="E249" s="230"/>
      <c r="F249" s="230"/>
      <c r="G249" s="230"/>
      <c r="H249" s="230"/>
      <c r="I249" s="230"/>
      <c r="J249" s="230"/>
      <c r="K249" s="230"/>
      <c r="L249" s="230"/>
      <c r="M249" s="230"/>
      <c r="N249" s="315"/>
      <c r="O249" s="315"/>
      <c r="P249" s="389">
        <f t="shared" si="36"/>
        <v>4700</v>
      </c>
      <c r="Q249" s="65"/>
      <c r="R249" s="206">
        <f t="shared" si="38"/>
        <v>45</v>
      </c>
      <c r="S249" s="315"/>
      <c r="T249" s="315"/>
      <c r="U249" s="315"/>
      <c r="V249" s="315"/>
      <c r="W249" s="315"/>
      <c r="X249" s="317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20"/>
      <c r="AR249" s="317"/>
      <c r="AS249" s="319"/>
      <c r="AT249" s="319"/>
      <c r="AU249" s="319"/>
      <c r="AV249" s="319"/>
      <c r="AW249" s="319"/>
      <c r="AX249" s="319"/>
      <c r="AY249" s="319"/>
      <c r="AZ249" s="319"/>
      <c r="BA249" s="319"/>
      <c r="BB249" s="319"/>
      <c r="BC249" s="319"/>
      <c r="BD249" s="319"/>
      <c r="BE249" s="319"/>
      <c r="BF249" s="319"/>
      <c r="BG249" s="319"/>
      <c r="BH249" s="319"/>
      <c r="BI249" s="261"/>
      <c r="BJ249" s="261"/>
      <c r="BK249" s="261"/>
      <c r="BL249" s="261"/>
      <c r="BM249" s="261"/>
      <c r="BN249" s="261"/>
      <c r="BO249" s="261"/>
      <c r="BP249" s="261"/>
      <c r="BQ249" s="261"/>
      <c r="BR249" s="261"/>
      <c r="BS249" s="261"/>
      <c r="BT249" s="261"/>
      <c r="BU249" s="261"/>
      <c r="BV249" s="261"/>
      <c r="BW249" s="261"/>
    </row>
    <row r="250" spans="2:75" ht="15.05" customHeight="1">
      <c r="B250" s="230"/>
      <c r="C250" s="230"/>
      <c r="D250" s="230"/>
      <c r="E250" s="230"/>
      <c r="F250" s="230"/>
      <c r="G250" s="230"/>
      <c r="H250" s="230"/>
      <c r="I250" s="230"/>
      <c r="J250" s="230"/>
      <c r="K250" s="230"/>
      <c r="L250" s="230"/>
      <c r="M250" s="230"/>
      <c r="N250" s="315"/>
      <c r="O250" s="315"/>
      <c r="P250" s="389">
        <f t="shared" si="36"/>
        <v>4800</v>
      </c>
      <c r="Q250" s="65"/>
      <c r="R250" s="206">
        <f t="shared" si="38"/>
        <v>46</v>
      </c>
      <c r="S250" s="315"/>
      <c r="T250" s="315"/>
      <c r="U250" s="315"/>
      <c r="V250" s="315"/>
      <c r="W250" s="315"/>
      <c r="X250" s="317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20"/>
      <c r="AR250" s="317"/>
      <c r="AS250" s="319"/>
      <c r="AT250" s="319"/>
      <c r="AU250" s="319"/>
      <c r="AV250" s="319"/>
      <c r="AW250" s="319"/>
      <c r="AX250" s="319"/>
      <c r="AY250" s="319"/>
      <c r="AZ250" s="319"/>
      <c r="BA250" s="319"/>
      <c r="BB250" s="319"/>
      <c r="BC250" s="319"/>
      <c r="BD250" s="319"/>
      <c r="BE250" s="319"/>
      <c r="BF250" s="319"/>
      <c r="BG250" s="319"/>
      <c r="BH250" s="319"/>
      <c r="BI250" s="261"/>
      <c r="BJ250" s="261"/>
      <c r="BK250" s="261"/>
      <c r="BL250" s="261"/>
      <c r="BM250" s="261"/>
      <c r="BN250" s="261"/>
      <c r="BO250" s="261"/>
      <c r="BP250" s="261"/>
      <c r="BQ250" s="261"/>
      <c r="BR250" s="261"/>
      <c r="BS250" s="261"/>
      <c r="BT250" s="261"/>
      <c r="BU250" s="261"/>
      <c r="BV250" s="261"/>
      <c r="BW250" s="261"/>
    </row>
    <row r="251" spans="2:75" ht="15.05" customHeight="1">
      <c r="B251" s="230"/>
      <c r="C251" s="230"/>
      <c r="D251" s="230"/>
      <c r="E251" s="230"/>
      <c r="F251" s="230"/>
      <c r="G251" s="230"/>
      <c r="H251" s="230"/>
      <c r="I251" s="230"/>
      <c r="J251" s="230"/>
      <c r="K251" s="230"/>
      <c r="L251" s="230"/>
      <c r="M251" s="230"/>
      <c r="N251" s="315"/>
      <c r="O251" s="315"/>
      <c r="P251" s="389">
        <f t="shared" si="36"/>
        <v>4900</v>
      </c>
      <c r="Q251" s="65"/>
      <c r="R251" s="206">
        <f t="shared" si="38"/>
        <v>47</v>
      </c>
      <c r="S251" s="315"/>
      <c r="T251" s="315"/>
      <c r="U251" s="315"/>
      <c r="V251" s="315"/>
      <c r="W251" s="315"/>
      <c r="X251" s="317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20"/>
      <c r="AR251" s="317"/>
      <c r="AS251" s="319"/>
      <c r="AT251" s="319"/>
      <c r="AU251" s="319"/>
      <c r="AV251" s="319"/>
      <c r="AW251" s="319"/>
      <c r="AX251" s="319"/>
      <c r="AY251" s="319"/>
      <c r="AZ251" s="319"/>
      <c r="BA251" s="319"/>
      <c r="BB251" s="319"/>
      <c r="BC251" s="319"/>
      <c r="BD251" s="319"/>
      <c r="BE251" s="319"/>
      <c r="BF251" s="319"/>
      <c r="BG251" s="319"/>
      <c r="BH251" s="319"/>
      <c r="BI251" s="261"/>
      <c r="BJ251" s="261"/>
      <c r="BK251" s="261"/>
      <c r="BL251" s="261"/>
      <c r="BM251" s="261"/>
      <c r="BN251" s="261"/>
      <c r="BO251" s="261"/>
      <c r="BP251" s="261"/>
      <c r="BQ251" s="261"/>
      <c r="BR251" s="261"/>
      <c r="BS251" s="261"/>
      <c r="BT251" s="261"/>
      <c r="BU251" s="261"/>
      <c r="BV251" s="261"/>
      <c r="BW251" s="261"/>
    </row>
    <row r="252" spans="2:75" ht="15.05" customHeight="1">
      <c r="B252" s="230"/>
      <c r="C252" s="230"/>
      <c r="D252" s="230"/>
      <c r="E252" s="230"/>
      <c r="F252" s="230"/>
      <c r="G252" s="230"/>
      <c r="H252" s="230"/>
      <c r="I252" s="230"/>
      <c r="J252" s="230"/>
      <c r="K252" s="230"/>
      <c r="L252" s="230"/>
      <c r="M252" s="230"/>
      <c r="N252" s="315"/>
      <c r="O252" s="315"/>
      <c r="P252" s="389">
        <f t="shared" si="36"/>
        <v>5000</v>
      </c>
      <c r="Q252" s="65"/>
      <c r="R252" s="206">
        <f t="shared" si="38"/>
        <v>48</v>
      </c>
      <c r="S252" s="315"/>
      <c r="T252" s="315"/>
      <c r="U252" s="315"/>
      <c r="V252" s="315"/>
      <c r="W252" s="315"/>
      <c r="X252" s="317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20"/>
      <c r="AR252" s="317"/>
      <c r="AS252" s="319"/>
      <c r="AT252" s="319"/>
      <c r="AU252" s="319"/>
      <c r="AV252" s="319"/>
      <c r="AW252" s="319"/>
      <c r="AX252" s="319"/>
      <c r="AY252" s="319"/>
      <c r="AZ252" s="319"/>
      <c r="BA252" s="319"/>
      <c r="BB252" s="319"/>
      <c r="BC252" s="319"/>
      <c r="BD252" s="319"/>
      <c r="BE252" s="319"/>
      <c r="BF252" s="319"/>
      <c r="BG252" s="319"/>
      <c r="BH252" s="319"/>
      <c r="BI252" s="261"/>
      <c r="BJ252" s="261"/>
      <c r="BK252" s="261"/>
      <c r="BL252" s="261"/>
      <c r="BM252" s="261"/>
      <c r="BN252" s="261"/>
      <c r="BO252" s="261"/>
      <c r="BP252" s="261"/>
      <c r="BQ252" s="261"/>
      <c r="BR252" s="261"/>
      <c r="BS252" s="261"/>
      <c r="BT252" s="261"/>
      <c r="BU252" s="261"/>
      <c r="BV252" s="261"/>
      <c r="BW252" s="261"/>
    </row>
    <row r="253" spans="2:75" ht="15.05" customHeight="1">
      <c r="B253" s="230"/>
      <c r="C253" s="230"/>
      <c r="D253" s="230"/>
      <c r="E253" s="230"/>
      <c r="F253" s="230"/>
      <c r="G253" s="230"/>
      <c r="H253" s="230"/>
      <c r="I253" s="230"/>
      <c r="J253" s="230"/>
      <c r="K253" s="230"/>
      <c r="L253" s="230"/>
      <c r="M253" s="230"/>
      <c r="N253" s="315"/>
      <c r="O253" s="315"/>
      <c r="P253" s="389">
        <f t="shared" si="36"/>
        <v>5100</v>
      </c>
      <c r="Q253" s="65"/>
      <c r="R253" s="206">
        <f t="shared" si="38"/>
        <v>49</v>
      </c>
      <c r="S253" s="315"/>
      <c r="T253" s="315"/>
      <c r="U253" s="315"/>
      <c r="V253" s="315"/>
      <c r="W253" s="315"/>
      <c r="X253" s="317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20"/>
      <c r="AR253" s="317"/>
      <c r="AS253" s="319"/>
      <c r="AT253" s="319"/>
      <c r="AU253" s="319"/>
      <c r="AV253" s="319"/>
      <c r="AW253" s="319"/>
      <c r="AX253" s="319"/>
      <c r="AY253" s="319"/>
      <c r="AZ253" s="319"/>
      <c r="BA253" s="319"/>
      <c r="BB253" s="319"/>
      <c r="BC253" s="319"/>
      <c r="BD253" s="319"/>
      <c r="BE253" s="319"/>
      <c r="BF253" s="319"/>
      <c r="BG253" s="319"/>
      <c r="BH253" s="319"/>
      <c r="BI253" s="261"/>
      <c r="BJ253" s="261"/>
      <c r="BK253" s="261"/>
      <c r="BL253" s="261"/>
      <c r="BM253" s="261"/>
      <c r="BN253" s="261"/>
      <c r="BO253" s="261"/>
      <c r="BP253" s="261"/>
      <c r="BQ253" s="261"/>
      <c r="BR253" s="261"/>
      <c r="BS253" s="261"/>
      <c r="BT253" s="261"/>
      <c r="BU253" s="261"/>
      <c r="BV253" s="261"/>
      <c r="BW253" s="261"/>
    </row>
    <row r="254" spans="2:75" ht="15.05" customHeight="1">
      <c r="B254" s="230"/>
      <c r="C254" s="230"/>
      <c r="D254" s="230"/>
      <c r="E254" s="230"/>
      <c r="F254" s="230"/>
      <c r="G254" s="230"/>
      <c r="H254" s="230"/>
      <c r="I254" s="230"/>
      <c r="J254" s="230"/>
      <c r="K254" s="230"/>
      <c r="L254" s="230"/>
      <c r="M254" s="230"/>
      <c r="N254" s="315"/>
      <c r="O254" s="315"/>
      <c r="P254" s="389">
        <f t="shared" si="36"/>
        <v>5200</v>
      </c>
      <c r="Q254" s="65"/>
      <c r="R254" s="206">
        <f t="shared" si="38"/>
        <v>50</v>
      </c>
      <c r="S254" s="315"/>
      <c r="T254" s="315"/>
      <c r="U254" s="315"/>
      <c r="V254" s="315"/>
      <c r="W254" s="315"/>
      <c r="X254" s="317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20"/>
      <c r="AR254" s="317"/>
      <c r="AS254" s="319"/>
      <c r="AT254" s="319"/>
      <c r="AU254" s="319"/>
      <c r="AV254" s="319"/>
      <c r="AW254" s="319"/>
      <c r="AX254" s="319"/>
      <c r="AY254" s="319"/>
      <c r="AZ254" s="319"/>
      <c r="BA254" s="319"/>
      <c r="BB254" s="319"/>
      <c r="BC254" s="319"/>
      <c r="BD254" s="319"/>
      <c r="BE254" s="319"/>
      <c r="BF254" s="319"/>
      <c r="BG254" s="319"/>
      <c r="BH254" s="319"/>
      <c r="BI254" s="261"/>
      <c r="BJ254" s="261"/>
      <c r="BK254" s="261"/>
      <c r="BL254" s="261"/>
      <c r="BM254" s="261"/>
      <c r="BN254" s="261"/>
      <c r="BO254" s="261"/>
      <c r="BP254" s="261"/>
      <c r="BQ254" s="261"/>
      <c r="BR254" s="261"/>
      <c r="BS254" s="261"/>
      <c r="BT254" s="261"/>
      <c r="BU254" s="261"/>
      <c r="BV254" s="261"/>
      <c r="BW254" s="261"/>
    </row>
    <row r="255" spans="2:75" ht="15.05" customHeight="1">
      <c r="B255" s="230"/>
      <c r="C255" s="230"/>
      <c r="D255" s="230"/>
      <c r="E255" s="230"/>
      <c r="F255" s="230"/>
      <c r="G255" s="230"/>
      <c r="H255" s="230"/>
      <c r="I255" s="230"/>
      <c r="J255" s="230"/>
      <c r="K255" s="230"/>
      <c r="L255" s="230"/>
      <c r="M255" s="230"/>
      <c r="N255" s="315"/>
      <c r="O255" s="315"/>
      <c r="P255" s="389">
        <f t="shared" si="36"/>
        <v>5300</v>
      </c>
      <c r="Q255" s="65"/>
      <c r="R255" s="206">
        <f t="shared" si="38"/>
        <v>51</v>
      </c>
      <c r="S255" s="315"/>
      <c r="T255" s="315"/>
      <c r="U255" s="315"/>
      <c r="V255" s="315"/>
      <c r="W255" s="315"/>
      <c r="X255" s="317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20"/>
      <c r="AR255" s="317"/>
      <c r="AS255" s="319"/>
      <c r="AT255" s="319"/>
      <c r="AU255" s="319"/>
      <c r="AV255" s="319"/>
      <c r="AW255" s="319"/>
      <c r="AX255" s="319"/>
      <c r="AY255" s="319"/>
      <c r="AZ255" s="319"/>
      <c r="BA255" s="319"/>
      <c r="BB255" s="319"/>
      <c r="BC255" s="319"/>
      <c r="BD255" s="319"/>
      <c r="BE255" s="319"/>
      <c r="BF255" s="319"/>
      <c r="BG255" s="319"/>
      <c r="BH255" s="319"/>
      <c r="BI255" s="261"/>
      <c r="BJ255" s="261"/>
      <c r="BK255" s="261"/>
      <c r="BL255" s="261"/>
      <c r="BM255" s="261"/>
      <c r="BN255" s="261"/>
      <c r="BO255" s="261"/>
      <c r="BP255" s="261"/>
      <c r="BQ255" s="261"/>
      <c r="BR255" s="261"/>
      <c r="BS255" s="261"/>
      <c r="BT255" s="261"/>
      <c r="BU255" s="261"/>
      <c r="BV255" s="261"/>
      <c r="BW255" s="261"/>
    </row>
    <row r="256" spans="2:75" ht="15.05" customHeight="1">
      <c r="B256" s="230"/>
      <c r="C256" s="230"/>
      <c r="D256" s="230"/>
      <c r="E256" s="230"/>
      <c r="F256" s="230"/>
      <c r="G256" s="230"/>
      <c r="H256" s="230"/>
      <c r="I256" s="230"/>
      <c r="J256" s="230"/>
      <c r="K256" s="230"/>
      <c r="L256" s="230"/>
      <c r="M256" s="230"/>
      <c r="N256" s="315"/>
      <c r="O256" s="315"/>
      <c r="P256" s="389">
        <f t="shared" si="36"/>
        <v>5400</v>
      </c>
      <c r="Q256" s="65"/>
      <c r="R256" s="206">
        <f t="shared" si="38"/>
        <v>52</v>
      </c>
      <c r="S256" s="315"/>
      <c r="T256" s="315"/>
      <c r="U256" s="315"/>
      <c r="V256" s="315"/>
      <c r="W256" s="315"/>
      <c r="X256" s="317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20"/>
      <c r="AR256" s="317"/>
      <c r="AS256" s="319"/>
      <c r="AT256" s="319"/>
      <c r="AU256" s="319"/>
      <c r="AV256" s="319"/>
      <c r="AW256" s="319"/>
      <c r="AX256" s="319"/>
      <c r="AY256" s="319"/>
      <c r="AZ256" s="319"/>
      <c r="BA256" s="319"/>
      <c r="BB256" s="319"/>
      <c r="BC256" s="319"/>
      <c r="BD256" s="319"/>
      <c r="BE256" s="319"/>
      <c r="BF256" s="319"/>
      <c r="BG256" s="319"/>
      <c r="BH256" s="319"/>
      <c r="BI256" s="261"/>
      <c r="BJ256" s="261"/>
      <c r="BK256" s="261"/>
      <c r="BL256" s="261"/>
      <c r="BM256" s="261"/>
      <c r="BN256" s="261"/>
      <c r="BO256" s="261"/>
      <c r="BP256" s="261"/>
      <c r="BQ256" s="261"/>
      <c r="BR256" s="261"/>
      <c r="BS256" s="261"/>
      <c r="BT256" s="261"/>
      <c r="BU256" s="261"/>
      <c r="BV256" s="261"/>
      <c r="BW256" s="261"/>
    </row>
    <row r="257" spans="2:75" ht="15.05" customHeight="1">
      <c r="B257" s="230"/>
      <c r="C257" s="230"/>
      <c r="D257" s="230"/>
      <c r="E257" s="230"/>
      <c r="F257" s="230"/>
      <c r="G257" s="230"/>
      <c r="H257" s="230"/>
      <c r="I257" s="230"/>
      <c r="J257" s="230"/>
      <c r="K257" s="230"/>
      <c r="L257" s="230"/>
      <c r="M257" s="230"/>
      <c r="N257" s="315"/>
      <c r="O257" s="315"/>
      <c r="P257" s="389">
        <f t="shared" si="36"/>
        <v>5500</v>
      </c>
      <c r="Q257" s="65"/>
      <c r="R257" s="206">
        <f t="shared" si="38"/>
        <v>53</v>
      </c>
      <c r="S257" s="315"/>
      <c r="T257" s="315"/>
      <c r="U257" s="315"/>
      <c r="V257" s="315"/>
      <c r="W257" s="315"/>
      <c r="X257" s="317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20"/>
      <c r="AR257" s="317"/>
      <c r="AS257" s="319"/>
      <c r="AT257" s="319"/>
      <c r="AU257" s="319"/>
      <c r="AV257" s="319"/>
      <c r="AW257" s="319"/>
      <c r="AX257" s="319"/>
      <c r="AY257" s="319"/>
      <c r="AZ257" s="319"/>
      <c r="BA257" s="319"/>
      <c r="BB257" s="319"/>
      <c r="BC257" s="319"/>
      <c r="BD257" s="319"/>
      <c r="BE257" s="319"/>
      <c r="BF257" s="319"/>
      <c r="BG257" s="319"/>
      <c r="BH257" s="319"/>
      <c r="BI257" s="261"/>
      <c r="BJ257" s="261"/>
      <c r="BK257" s="261"/>
      <c r="BL257" s="261"/>
      <c r="BM257" s="261"/>
      <c r="BN257" s="261"/>
      <c r="BO257" s="261"/>
      <c r="BP257" s="261"/>
      <c r="BQ257" s="261"/>
      <c r="BR257" s="261"/>
      <c r="BS257" s="261"/>
      <c r="BT257" s="261"/>
      <c r="BU257" s="261"/>
      <c r="BV257" s="261"/>
      <c r="BW257" s="261"/>
    </row>
    <row r="258" spans="2:75" ht="15.05" customHeight="1">
      <c r="B258" s="230"/>
      <c r="C258" s="230"/>
      <c r="D258" s="230"/>
      <c r="E258" s="230"/>
      <c r="F258" s="230"/>
      <c r="G258" s="230"/>
      <c r="H258" s="230"/>
      <c r="I258" s="230"/>
      <c r="J258" s="230"/>
      <c r="K258" s="230"/>
      <c r="L258" s="230"/>
      <c r="M258" s="230"/>
      <c r="N258" s="315"/>
      <c r="O258" s="315"/>
      <c r="P258" s="389">
        <f t="shared" si="36"/>
        <v>5600</v>
      </c>
      <c r="Q258" s="65"/>
      <c r="R258" s="206">
        <f t="shared" si="38"/>
        <v>54</v>
      </c>
      <c r="S258" s="315"/>
      <c r="T258" s="315"/>
      <c r="U258" s="315"/>
      <c r="V258" s="315"/>
      <c r="W258" s="315"/>
      <c r="X258" s="317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20"/>
      <c r="AR258" s="317"/>
      <c r="AS258" s="319"/>
      <c r="AT258" s="319"/>
      <c r="AU258" s="319"/>
      <c r="AV258" s="319"/>
      <c r="AW258" s="319"/>
      <c r="AX258" s="319"/>
      <c r="AY258" s="319"/>
      <c r="AZ258" s="319"/>
      <c r="BA258" s="319"/>
      <c r="BB258" s="319"/>
      <c r="BC258" s="319"/>
      <c r="BD258" s="319"/>
      <c r="BE258" s="319"/>
      <c r="BF258" s="319"/>
      <c r="BG258" s="319"/>
      <c r="BH258" s="319"/>
      <c r="BI258" s="261"/>
      <c r="BJ258" s="261"/>
      <c r="BK258" s="261"/>
      <c r="BL258" s="261"/>
      <c r="BM258" s="261"/>
      <c r="BN258" s="261"/>
      <c r="BO258" s="261"/>
      <c r="BP258" s="261"/>
      <c r="BQ258" s="261"/>
      <c r="BR258" s="261"/>
      <c r="BS258" s="261"/>
      <c r="BT258" s="261"/>
      <c r="BU258" s="261"/>
      <c r="BV258" s="261"/>
      <c r="BW258" s="261"/>
    </row>
    <row r="259" spans="2:75" ht="15.05" customHeight="1">
      <c r="B259" s="230"/>
      <c r="C259" s="230"/>
      <c r="D259" s="230"/>
      <c r="E259" s="230"/>
      <c r="F259" s="230"/>
      <c r="G259" s="230"/>
      <c r="H259" s="230"/>
      <c r="I259" s="230"/>
      <c r="J259" s="230"/>
      <c r="K259" s="230"/>
      <c r="L259" s="230"/>
      <c r="M259" s="230"/>
      <c r="N259" s="315"/>
      <c r="O259" s="315"/>
      <c r="P259" s="389">
        <f t="shared" si="36"/>
        <v>5700</v>
      </c>
      <c r="Q259" s="65"/>
      <c r="R259" s="206">
        <f t="shared" si="38"/>
        <v>55</v>
      </c>
      <c r="S259" s="315"/>
      <c r="T259" s="315"/>
      <c r="U259" s="315"/>
      <c r="V259" s="315"/>
      <c r="W259" s="315"/>
      <c r="X259" s="317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20"/>
      <c r="AR259" s="317"/>
      <c r="AS259" s="319"/>
      <c r="AT259" s="319"/>
      <c r="AU259" s="319"/>
      <c r="AV259" s="319"/>
      <c r="AW259" s="319"/>
      <c r="AX259" s="319"/>
      <c r="AY259" s="319"/>
      <c r="AZ259" s="319"/>
      <c r="BA259" s="319"/>
      <c r="BB259" s="319"/>
      <c r="BC259" s="319"/>
      <c r="BD259" s="319"/>
      <c r="BE259" s="319"/>
      <c r="BF259" s="319"/>
      <c r="BG259" s="319"/>
      <c r="BH259" s="319"/>
      <c r="BI259" s="261"/>
      <c r="BJ259" s="261"/>
      <c r="BK259" s="261"/>
      <c r="BL259" s="261"/>
      <c r="BM259" s="261"/>
      <c r="BN259" s="261"/>
      <c r="BO259" s="261"/>
      <c r="BP259" s="261"/>
      <c r="BQ259" s="261"/>
      <c r="BR259" s="261"/>
      <c r="BS259" s="261"/>
      <c r="BT259" s="261"/>
      <c r="BU259" s="261"/>
      <c r="BV259" s="261"/>
      <c r="BW259" s="261"/>
    </row>
    <row r="260" spans="2:75" ht="15.05" customHeight="1">
      <c r="B260" s="230"/>
      <c r="C260" s="230"/>
      <c r="D260" s="230"/>
      <c r="E260" s="230"/>
      <c r="F260" s="230"/>
      <c r="G260" s="230"/>
      <c r="H260" s="230"/>
      <c r="I260" s="230"/>
      <c r="J260" s="230"/>
      <c r="K260" s="230"/>
      <c r="L260" s="230"/>
      <c r="M260" s="230"/>
      <c r="N260" s="315"/>
      <c r="O260" s="315"/>
      <c r="P260" s="389">
        <f t="shared" si="36"/>
        <v>5800</v>
      </c>
      <c r="Q260" s="65"/>
      <c r="R260" s="206">
        <f t="shared" si="38"/>
        <v>56</v>
      </c>
      <c r="S260" s="315"/>
      <c r="T260" s="315"/>
      <c r="U260" s="315"/>
      <c r="V260" s="315"/>
      <c r="W260" s="315"/>
      <c r="X260" s="317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20"/>
      <c r="AR260" s="317"/>
      <c r="AS260" s="319"/>
      <c r="AT260" s="319"/>
      <c r="AU260" s="319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19"/>
      <c r="BI260" s="261"/>
      <c r="BJ260" s="261"/>
      <c r="BK260" s="261"/>
      <c r="BL260" s="261"/>
      <c r="BM260" s="261"/>
      <c r="BN260" s="261"/>
      <c r="BO260" s="261"/>
      <c r="BP260" s="261"/>
      <c r="BQ260" s="261"/>
      <c r="BR260" s="261"/>
      <c r="BS260" s="261"/>
      <c r="BT260" s="261"/>
      <c r="BU260" s="261"/>
      <c r="BV260" s="261"/>
      <c r="BW260" s="261"/>
    </row>
    <row r="261" spans="2:75" ht="15.05" customHeight="1">
      <c r="B261" s="230"/>
      <c r="C261" s="230"/>
      <c r="D261" s="230"/>
      <c r="E261" s="230"/>
      <c r="F261" s="230"/>
      <c r="G261" s="230"/>
      <c r="H261" s="230"/>
      <c r="I261" s="230"/>
      <c r="J261" s="230"/>
      <c r="K261" s="230"/>
      <c r="L261" s="230"/>
      <c r="M261" s="230"/>
      <c r="N261" s="315"/>
      <c r="O261" s="315"/>
      <c r="P261" s="389">
        <f t="shared" si="36"/>
        <v>5900</v>
      </c>
      <c r="Q261" s="65"/>
      <c r="R261" s="206">
        <f t="shared" si="38"/>
        <v>57</v>
      </c>
      <c r="S261" s="315"/>
      <c r="T261" s="315"/>
      <c r="U261" s="315"/>
      <c r="V261" s="315"/>
      <c r="W261" s="315"/>
      <c r="X261" s="317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20"/>
      <c r="AR261" s="317"/>
      <c r="AS261" s="319"/>
      <c r="AT261" s="319"/>
      <c r="AU261" s="319"/>
      <c r="AV261" s="319"/>
      <c r="AW261" s="319"/>
      <c r="AX261" s="319"/>
      <c r="AY261" s="319"/>
      <c r="AZ261" s="319"/>
      <c r="BA261" s="319"/>
      <c r="BB261" s="319"/>
      <c r="BC261" s="319"/>
      <c r="BD261" s="319"/>
      <c r="BE261" s="319"/>
      <c r="BF261" s="319"/>
      <c r="BG261" s="319"/>
      <c r="BH261" s="319"/>
      <c r="BI261" s="261"/>
      <c r="BJ261" s="261"/>
      <c r="BK261" s="261"/>
      <c r="BL261" s="261"/>
      <c r="BM261" s="261"/>
      <c r="BN261" s="261"/>
      <c r="BO261" s="261"/>
      <c r="BP261" s="261"/>
      <c r="BQ261" s="261"/>
      <c r="BR261" s="261"/>
      <c r="BS261" s="261"/>
      <c r="BT261" s="261"/>
      <c r="BU261" s="261"/>
      <c r="BV261" s="261"/>
      <c r="BW261" s="261"/>
    </row>
    <row r="262" spans="2:75" ht="15.05" customHeight="1">
      <c r="B262" s="230"/>
      <c r="C262" s="230"/>
      <c r="D262" s="230"/>
      <c r="E262" s="230"/>
      <c r="F262" s="230"/>
      <c r="G262" s="230"/>
      <c r="H262" s="230"/>
      <c r="I262" s="230"/>
      <c r="J262" s="230"/>
      <c r="K262" s="230"/>
      <c r="L262" s="230"/>
      <c r="M262" s="230"/>
      <c r="N262" s="315"/>
      <c r="O262" s="315"/>
      <c r="P262" s="389">
        <f t="shared" si="36"/>
        <v>6000</v>
      </c>
      <c r="Q262" s="65"/>
      <c r="R262" s="206">
        <f t="shared" si="38"/>
        <v>58</v>
      </c>
      <c r="S262" s="315"/>
      <c r="T262" s="315"/>
      <c r="U262" s="315"/>
      <c r="V262" s="315"/>
      <c r="W262" s="315"/>
      <c r="X262" s="317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20"/>
      <c r="AR262" s="317"/>
      <c r="AS262" s="319"/>
      <c r="AT262" s="319"/>
      <c r="AU262" s="319"/>
      <c r="AV262" s="319"/>
      <c r="AW262" s="319"/>
      <c r="AX262" s="319"/>
      <c r="AY262" s="319"/>
      <c r="AZ262" s="319"/>
      <c r="BA262" s="319"/>
      <c r="BB262" s="319"/>
      <c r="BC262" s="319"/>
      <c r="BD262" s="319"/>
      <c r="BE262" s="319"/>
      <c r="BF262" s="319"/>
      <c r="BG262" s="319"/>
      <c r="BH262" s="319"/>
      <c r="BI262" s="261"/>
      <c r="BJ262" s="261"/>
      <c r="BK262" s="261"/>
      <c r="BL262" s="261"/>
      <c r="BM262" s="261"/>
      <c r="BN262" s="261"/>
      <c r="BO262" s="261"/>
      <c r="BP262" s="261"/>
      <c r="BQ262" s="261"/>
      <c r="BR262" s="261"/>
      <c r="BS262" s="261"/>
      <c r="BT262" s="261"/>
      <c r="BU262" s="261"/>
      <c r="BV262" s="261"/>
      <c r="BW262" s="261"/>
    </row>
    <row r="263" spans="2:75" ht="15.05" customHeight="1">
      <c r="B263" s="230"/>
      <c r="C263" s="230"/>
      <c r="D263" s="230"/>
      <c r="E263" s="230"/>
      <c r="F263" s="230"/>
      <c r="G263" s="230"/>
      <c r="H263" s="230"/>
      <c r="I263" s="230"/>
      <c r="J263" s="230"/>
      <c r="K263" s="230"/>
      <c r="L263" s="230"/>
      <c r="M263" s="230"/>
      <c r="N263" s="315"/>
      <c r="O263" s="315"/>
      <c r="P263" s="389">
        <f t="shared" si="36"/>
        <v>6100</v>
      </c>
      <c r="Q263" s="65"/>
      <c r="R263" s="206">
        <f t="shared" si="38"/>
        <v>59</v>
      </c>
      <c r="S263" s="315"/>
      <c r="T263" s="315"/>
      <c r="U263" s="315"/>
      <c r="V263" s="315"/>
      <c r="W263" s="315"/>
      <c r="X263" s="317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20"/>
      <c r="AR263" s="317"/>
      <c r="AS263" s="319"/>
      <c r="AT263" s="319"/>
      <c r="AU263" s="319"/>
      <c r="AV263" s="319"/>
      <c r="AW263" s="319"/>
      <c r="AX263" s="319"/>
      <c r="AY263" s="319"/>
      <c r="AZ263" s="319"/>
      <c r="BA263" s="319"/>
      <c r="BB263" s="319"/>
      <c r="BC263" s="319"/>
      <c r="BD263" s="319"/>
      <c r="BE263" s="319"/>
      <c r="BF263" s="319"/>
      <c r="BG263" s="319"/>
      <c r="BH263" s="319"/>
      <c r="BI263" s="261"/>
      <c r="BJ263" s="261"/>
      <c r="BK263" s="261"/>
      <c r="BL263" s="261"/>
      <c r="BM263" s="261"/>
      <c r="BN263" s="261"/>
      <c r="BO263" s="261"/>
      <c r="BP263" s="261"/>
      <c r="BQ263" s="261"/>
      <c r="BR263" s="261"/>
      <c r="BS263" s="261"/>
      <c r="BT263" s="261"/>
      <c r="BU263" s="261"/>
      <c r="BV263" s="261"/>
      <c r="BW263" s="261"/>
    </row>
    <row r="264" spans="2:75" ht="15.05" customHeight="1">
      <c r="B264" s="230"/>
      <c r="C264" s="230"/>
      <c r="D264" s="230"/>
      <c r="E264" s="230"/>
      <c r="F264" s="230"/>
      <c r="G264" s="230"/>
      <c r="H264" s="230"/>
      <c r="I264" s="230"/>
      <c r="J264" s="230"/>
      <c r="K264" s="230"/>
      <c r="L264" s="230"/>
      <c r="M264" s="230"/>
      <c r="N264" s="315"/>
      <c r="O264" s="315"/>
      <c r="P264" s="389">
        <f t="shared" si="36"/>
        <v>6200</v>
      </c>
      <c r="Q264" s="65"/>
      <c r="R264" s="206">
        <f t="shared" si="38"/>
        <v>60</v>
      </c>
      <c r="S264" s="315"/>
      <c r="T264" s="315"/>
      <c r="U264" s="315"/>
      <c r="V264" s="315"/>
      <c r="W264" s="315"/>
      <c r="X264" s="317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20"/>
      <c r="AR264" s="317"/>
      <c r="AS264" s="319"/>
      <c r="AT264" s="319"/>
      <c r="AU264" s="319"/>
      <c r="AV264" s="319"/>
      <c r="AW264" s="319"/>
      <c r="AX264" s="319"/>
      <c r="AY264" s="319"/>
      <c r="AZ264" s="319"/>
      <c r="BA264" s="319"/>
      <c r="BB264" s="319"/>
      <c r="BC264" s="319"/>
      <c r="BD264" s="319"/>
      <c r="BE264" s="319"/>
      <c r="BF264" s="319"/>
      <c r="BG264" s="319"/>
      <c r="BH264" s="319"/>
      <c r="BI264" s="261"/>
      <c r="BJ264" s="261"/>
      <c r="BK264" s="261"/>
      <c r="BL264" s="261"/>
      <c r="BM264" s="261"/>
      <c r="BN264" s="261"/>
      <c r="BO264" s="261"/>
      <c r="BP264" s="261"/>
      <c r="BQ264" s="261"/>
      <c r="BR264" s="261"/>
      <c r="BS264" s="261"/>
      <c r="BT264" s="261"/>
      <c r="BU264" s="261"/>
      <c r="BV264" s="261"/>
      <c r="BW264" s="261"/>
    </row>
    <row r="265" spans="2:75" ht="15.05" customHeight="1">
      <c r="B265" s="230"/>
      <c r="C265" s="230"/>
      <c r="D265" s="230"/>
      <c r="E265" s="230"/>
      <c r="F265" s="230"/>
      <c r="G265" s="230"/>
      <c r="H265" s="230"/>
      <c r="I265" s="230"/>
      <c r="J265" s="230"/>
      <c r="K265" s="230"/>
      <c r="L265" s="230"/>
      <c r="M265" s="230"/>
      <c r="N265" s="315"/>
      <c r="O265" s="315"/>
      <c r="P265" s="389">
        <f t="shared" si="36"/>
        <v>6300</v>
      </c>
      <c r="Q265" s="65"/>
      <c r="R265" s="206">
        <f t="shared" si="38"/>
        <v>61</v>
      </c>
      <c r="S265" s="315"/>
      <c r="T265" s="315"/>
      <c r="U265" s="315"/>
      <c r="V265" s="315"/>
      <c r="W265" s="315"/>
      <c r="X265" s="317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20"/>
      <c r="AR265" s="317"/>
      <c r="AS265" s="319"/>
      <c r="AT265" s="319"/>
      <c r="AU265" s="319"/>
      <c r="AV265" s="319"/>
      <c r="AW265" s="319"/>
      <c r="AX265" s="319"/>
      <c r="AY265" s="319"/>
      <c r="AZ265" s="319"/>
      <c r="BA265" s="319"/>
      <c r="BB265" s="319"/>
      <c r="BC265" s="319"/>
      <c r="BD265" s="319"/>
      <c r="BE265" s="319"/>
      <c r="BF265" s="319"/>
      <c r="BG265" s="319"/>
      <c r="BH265" s="319"/>
      <c r="BI265" s="261"/>
      <c r="BJ265" s="261"/>
      <c r="BK265" s="261"/>
      <c r="BL265" s="261"/>
      <c r="BM265" s="261"/>
      <c r="BN265" s="261"/>
      <c r="BO265" s="261"/>
      <c r="BP265" s="261"/>
      <c r="BQ265" s="261"/>
      <c r="BR265" s="261"/>
      <c r="BS265" s="261"/>
      <c r="BT265" s="261"/>
      <c r="BU265" s="261"/>
      <c r="BV265" s="261"/>
      <c r="BW265" s="261"/>
    </row>
    <row r="266" spans="2:75" ht="15.05" customHeight="1">
      <c r="B266" s="230"/>
      <c r="C266" s="230"/>
      <c r="D266" s="230"/>
      <c r="E266" s="230"/>
      <c r="F266" s="230"/>
      <c r="G266" s="230"/>
      <c r="H266" s="230"/>
      <c r="I266" s="230"/>
      <c r="J266" s="230"/>
      <c r="K266" s="230"/>
      <c r="L266" s="230"/>
      <c r="M266" s="230"/>
      <c r="N266" s="315"/>
      <c r="O266" s="315"/>
      <c r="P266" s="389">
        <f t="shared" si="36"/>
        <v>6400</v>
      </c>
      <c r="Q266" s="65"/>
      <c r="R266" s="206">
        <f t="shared" si="38"/>
        <v>62</v>
      </c>
      <c r="S266" s="315"/>
      <c r="T266" s="315"/>
      <c r="U266" s="315"/>
      <c r="V266" s="315"/>
      <c r="W266" s="315"/>
      <c r="X266" s="317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20"/>
      <c r="AR266" s="317"/>
      <c r="AS266" s="319"/>
      <c r="AT266" s="319"/>
      <c r="AU266" s="319"/>
      <c r="AV266" s="319"/>
      <c r="AW266" s="319"/>
      <c r="AX266" s="319"/>
      <c r="AY266" s="319"/>
      <c r="AZ266" s="319"/>
      <c r="BA266" s="319"/>
      <c r="BB266" s="319"/>
      <c r="BC266" s="319"/>
      <c r="BD266" s="319"/>
      <c r="BE266" s="319"/>
      <c r="BF266" s="319"/>
      <c r="BG266" s="319"/>
      <c r="BH266" s="319"/>
      <c r="BI266" s="261"/>
      <c r="BJ266" s="261"/>
      <c r="BK266" s="261"/>
      <c r="BL266" s="261"/>
      <c r="BM266" s="261"/>
      <c r="BN266" s="261"/>
      <c r="BO266" s="261"/>
      <c r="BP266" s="261"/>
      <c r="BQ266" s="261"/>
      <c r="BR266" s="261"/>
      <c r="BS266" s="261"/>
      <c r="BT266" s="261"/>
      <c r="BU266" s="261"/>
      <c r="BV266" s="261"/>
      <c r="BW266" s="261"/>
    </row>
    <row r="267" spans="2:75" ht="15.05" customHeight="1">
      <c r="B267" s="230"/>
      <c r="C267" s="230"/>
      <c r="D267" s="230"/>
      <c r="E267" s="230"/>
      <c r="F267" s="230"/>
      <c r="G267" s="230"/>
      <c r="H267" s="230"/>
      <c r="I267" s="230"/>
      <c r="J267" s="230"/>
      <c r="K267" s="230"/>
      <c r="L267" s="230"/>
      <c r="M267" s="230"/>
      <c r="N267" s="315"/>
      <c r="O267" s="315"/>
      <c r="P267" s="389">
        <f t="shared" si="36"/>
        <v>6500</v>
      </c>
      <c r="Q267" s="65"/>
      <c r="R267" s="206">
        <f t="shared" si="38"/>
        <v>63</v>
      </c>
      <c r="S267" s="315"/>
      <c r="T267" s="315"/>
      <c r="U267" s="315"/>
      <c r="V267" s="315"/>
      <c r="W267" s="315"/>
      <c r="X267" s="317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20"/>
      <c r="AR267" s="317"/>
      <c r="AS267" s="319"/>
      <c r="AT267" s="319"/>
      <c r="AU267" s="319"/>
      <c r="AV267" s="319"/>
      <c r="AW267" s="319"/>
      <c r="AX267" s="319"/>
      <c r="AY267" s="319"/>
      <c r="AZ267" s="319"/>
      <c r="BA267" s="319"/>
      <c r="BB267" s="319"/>
      <c r="BC267" s="319"/>
      <c r="BD267" s="319"/>
      <c r="BE267" s="319"/>
      <c r="BF267" s="319"/>
      <c r="BG267" s="319"/>
      <c r="BH267" s="319"/>
      <c r="BI267" s="261"/>
      <c r="BJ267" s="261"/>
      <c r="BK267" s="261"/>
      <c r="BL267" s="261"/>
      <c r="BM267" s="261"/>
      <c r="BN267" s="261"/>
      <c r="BO267" s="261"/>
      <c r="BP267" s="261"/>
      <c r="BQ267" s="261"/>
      <c r="BR267" s="261"/>
      <c r="BS267" s="261"/>
      <c r="BT267" s="261"/>
      <c r="BU267" s="261"/>
      <c r="BV267" s="261"/>
      <c r="BW267" s="261"/>
    </row>
    <row r="268" spans="2:75" ht="15.05" customHeight="1">
      <c r="B268" s="230"/>
      <c r="C268" s="230"/>
      <c r="D268" s="230"/>
      <c r="E268" s="230"/>
      <c r="F268" s="230"/>
      <c r="G268" s="230"/>
      <c r="H268" s="230"/>
      <c r="I268" s="230"/>
      <c r="J268" s="230"/>
      <c r="K268" s="230"/>
      <c r="L268" s="230"/>
      <c r="M268" s="230"/>
      <c r="N268" s="315"/>
      <c r="O268" s="315"/>
      <c r="P268" s="389">
        <f t="shared" si="36"/>
        <v>6600</v>
      </c>
      <c r="Q268" s="65"/>
      <c r="R268" s="206">
        <f t="shared" si="38"/>
        <v>64</v>
      </c>
      <c r="S268" s="315"/>
      <c r="T268" s="315"/>
      <c r="U268" s="315"/>
      <c r="V268" s="315"/>
      <c r="W268" s="315"/>
      <c r="X268" s="317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20"/>
      <c r="AR268" s="317"/>
      <c r="AS268" s="319"/>
      <c r="AT268" s="319"/>
      <c r="AU268" s="319"/>
      <c r="AV268" s="319"/>
      <c r="AW268" s="319"/>
      <c r="AX268" s="319"/>
      <c r="AY268" s="319"/>
      <c r="AZ268" s="319"/>
      <c r="BA268" s="319"/>
      <c r="BB268" s="319"/>
      <c r="BC268" s="319"/>
      <c r="BD268" s="319"/>
      <c r="BE268" s="319"/>
      <c r="BF268" s="319"/>
      <c r="BG268" s="319"/>
      <c r="BH268" s="319"/>
      <c r="BI268" s="261"/>
      <c r="BJ268" s="261"/>
      <c r="BK268" s="261"/>
      <c r="BL268" s="261"/>
      <c r="BM268" s="261"/>
      <c r="BN268" s="261"/>
      <c r="BO268" s="261"/>
      <c r="BP268" s="261"/>
      <c r="BQ268" s="261"/>
      <c r="BR268" s="261"/>
      <c r="BS268" s="261"/>
      <c r="BT268" s="261"/>
      <c r="BU268" s="261"/>
      <c r="BV268" s="261"/>
      <c r="BW268" s="261"/>
    </row>
    <row r="269" spans="2:75" ht="15.05" customHeight="1">
      <c r="B269" s="230"/>
      <c r="C269" s="230"/>
      <c r="D269" s="230"/>
      <c r="E269" s="230"/>
      <c r="F269" s="230"/>
      <c r="G269" s="230"/>
      <c r="H269" s="230"/>
      <c r="I269" s="230"/>
      <c r="J269" s="230"/>
      <c r="K269" s="230"/>
      <c r="L269" s="230"/>
      <c r="M269" s="230"/>
      <c r="N269" s="315"/>
      <c r="O269" s="315"/>
      <c r="P269" s="389">
        <f t="shared" si="36"/>
        <v>6700</v>
      </c>
      <c r="Q269" s="65"/>
      <c r="R269" s="206">
        <f t="shared" si="38"/>
        <v>65</v>
      </c>
      <c r="S269" s="315"/>
      <c r="T269" s="315"/>
      <c r="U269" s="315"/>
      <c r="V269" s="315"/>
      <c r="W269" s="315"/>
      <c r="X269" s="317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20"/>
      <c r="AR269" s="317"/>
      <c r="AS269" s="319"/>
      <c r="AT269" s="319"/>
      <c r="AU269" s="319"/>
      <c r="AV269" s="319"/>
      <c r="AW269" s="319"/>
      <c r="AX269" s="319"/>
      <c r="AY269" s="319"/>
      <c r="AZ269" s="319"/>
      <c r="BA269" s="319"/>
      <c r="BB269" s="319"/>
      <c r="BC269" s="319"/>
      <c r="BD269" s="319"/>
      <c r="BE269" s="319"/>
      <c r="BF269" s="319"/>
      <c r="BG269" s="319"/>
      <c r="BH269" s="319"/>
      <c r="BI269" s="261"/>
      <c r="BJ269" s="261"/>
      <c r="BK269" s="261"/>
      <c r="BL269" s="261"/>
      <c r="BM269" s="261"/>
      <c r="BN269" s="261"/>
      <c r="BO269" s="261"/>
      <c r="BP269" s="261"/>
      <c r="BQ269" s="261"/>
      <c r="BR269" s="261"/>
      <c r="BS269" s="261"/>
      <c r="BT269" s="261"/>
      <c r="BU269" s="261"/>
      <c r="BV269" s="261"/>
      <c r="BW269" s="261"/>
    </row>
    <row r="270" spans="2:75" ht="15.05" customHeight="1">
      <c r="B270" s="230"/>
      <c r="C270" s="230"/>
      <c r="D270" s="230"/>
      <c r="E270" s="230"/>
      <c r="F270" s="230"/>
      <c r="G270" s="230"/>
      <c r="H270" s="230"/>
      <c r="I270" s="230"/>
      <c r="J270" s="230"/>
      <c r="K270" s="230"/>
      <c r="L270" s="230"/>
      <c r="M270" s="230"/>
      <c r="N270" s="315"/>
      <c r="O270" s="315"/>
      <c r="P270" s="389">
        <f t="shared" si="36"/>
        <v>6800</v>
      </c>
      <c r="Q270" s="65"/>
      <c r="R270" s="206">
        <f t="shared" si="38"/>
        <v>66</v>
      </c>
      <c r="S270" s="315"/>
      <c r="T270" s="315"/>
      <c r="U270" s="315"/>
      <c r="V270" s="315"/>
      <c r="W270" s="315"/>
      <c r="X270" s="317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20"/>
      <c r="AR270" s="317"/>
      <c r="AS270" s="319"/>
      <c r="AT270" s="319"/>
      <c r="AU270" s="319"/>
      <c r="AV270" s="319"/>
      <c r="AW270" s="319"/>
      <c r="AX270" s="319"/>
      <c r="AY270" s="319"/>
      <c r="AZ270" s="319"/>
      <c r="BA270" s="319"/>
      <c r="BB270" s="319"/>
      <c r="BC270" s="319"/>
      <c r="BD270" s="319"/>
      <c r="BE270" s="319"/>
      <c r="BF270" s="319"/>
      <c r="BG270" s="319"/>
      <c r="BH270" s="319"/>
      <c r="BI270" s="261"/>
      <c r="BJ270" s="261"/>
      <c r="BK270" s="261"/>
      <c r="BL270" s="261"/>
      <c r="BM270" s="261"/>
      <c r="BN270" s="261"/>
      <c r="BO270" s="261"/>
      <c r="BP270" s="261"/>
      <c r="BQ270" s="261"/>
      <c r="BR270" s="261"/>
      <c r="BS270" s="261"/>
      <c r="BT270" s="261"/>
      <c r="BU270" s="261"/>
      <c r="BV270" s="261"/>
      <c r="BW270" s="261"/>
    </row>
    <row r="271" spans="2:75" ht="15.05" customHeight="1">
      <c r="B271" s="230"/>
      <c r="C271" s="230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315"/>
      <c r="O271" s="315"/>
      <c r="P271" s="389">
        <f t="shared" ref="P271:P282" si="40">SUM(P270+100)</f>
        <v>6900</v>
      </c>
      <c r="Q271" s="65"/>
      <c r="R271" s="206">
        <f t="shared" ref="R271:R304" si="41">SUM(R270+1)</f>
        <v>67</v>
      </c>
      <c r="S271" s="315"/>
      <c r="T271" s="315"/>
      <c r="U271" s="315"/>
      <c r="V271" s="315"/>
      <c r="W271" s="315"/>
      <c r="X271" s="317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20"/>
      <c r="AR271" s="317"/>
      <c r="AS271" s="319"/>
      <c r="AT271" s="319"/>
      <c r="AU271" s="319"/>
      <c r="AV271" s="319"/>
      <c r="AW271" s="319"/>
      <c r="AX271" s="319"/>
      <c r="AY271" s="319"/>
      <c r="AZ271" s="319"/>
      <c r="BA271" s="319"/>
      <c r="BB271" s="319"/>
      <c r="BC271" s="319"/>
      <c r="BD271" s="319"/>
      <c r="BE271" s="319"/>
      <c r="BF271" s="319"/>
      <c r="BG271" s="319"/>
      <c r="BH271" s="319"/>
      <c r="BI271" s="261"/>
      <c r="BJ271" s="261"/>
      <c r="BK271" s="261"/>
      <c r="BL271" s="261"/>
      <c r="BM271" s="261"/>
      <c r="BN271" s="261"/>
      <c r="BO271" s="261"/>
      <c r="BP271" s="261"/>
      <c r="BQ271" s="261"/>
      <c r="BR271" s="261"/>
      <c r="BS271" s="261"/>
      <c r="BT271" s="261"/>
      <c r="BU271" s="261"/>
      <c r="BV271" s="261"/>
      <c r="BW271" s="261"/>
    </row>
    <row r="272" spans="2:75" ht="15.05" customHeight="1">
      <c r="B272" s="230"/>
      <c r="C272" s="230"/>
      <c r="D272" s="230"/>
      <c r="E272" s="230"/>
      <c r="F272" s="230"/>
      <c r="G272" s="230"/>
      <c r="H272" s="230"/>
      <c r="I272" s="230"/>
      <c r="J272" s="230"/>
      <c r="K272" s="230"/>
      <c r="L272" s="230"/>
      <c r="M272" s="230"/>
      <c r="N272" s="315"/>
      <c r="O272" s="315"/>
      <c r="P272" s="389">
        <f t="shared" si="40"/>
        <v>7000</v>
      </c>
      <c r="Q272" s="65"/>
      <c r="R272" s="206">
        <f t="shared" si="41"/>
        <v>68</v>
      </c>
      <c r="S272" s="315"/>
      <c r="T272" s="315"/>
      <c r="U272" s="315"/>
      <c r="V272" s="315"/>
      <c r="W272" s="315"/>
      <c r="X272" s="317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20"/>
      <c r="AR272" s="317"/>
      <c r="AS272" s="319"/>
      <c r="AT272" s="319"/>
      <c r="AU272" s="319"/>
      <c r="AV272" s="319"/>
      <c r="AW272" s="319"/>
      <c r="AX272" s="319"/>
      <c r="AY272" s="319"/>
      <c r="AZ272" s="319"/>
      <c r="BA272" s="319"/>
      <c r="BB272" s="319"/>
      <c r="BC272" s="319"/>
      <c r="BD272" s="319"/>
      <c r="BE272" s="319"/>
      <c r="BF272" s="319"/>
      <c r="BG272" s="319"/>
      <c r="BH272" s="319"/>
      <c r="BI272" s="261"/>
      <c r="BJ272" s="261"/>
      <c r="BK272" s="261"/>
      <c r="BL272" s="261"/>
      <c r="BM272" s="261"/>
      <c r="BN272" s="261"/>
      <c r="BO272" s="261"/>
      <c r="BP272" s="261"/>
      <c r="BQ272" s="261"/>
      <c r="BR272" s="261"/>
      <c r="BS272" s="261"/>
      <c r="BT272" s="261"/>
      <c r="BU272" s="261"/>
      <c r="BV272" s="261"/>
      <c r="BW272" s="261"/>
    </row>
    <row r="273" spans="2:75" ht="15.05" customHeight="1">
      <c r="B273" s="230"/>
      <c r="C273" s="230"/>
      <c r="D273" s="230"/>
      <c r="E273" s="230"/>
      <c r="F273" s="230"/>
      <c r="G273" s="230"/>
      <c r="H273" s="230"/>
      <c r="I273" s="230"/>
      <c r="J273" s="230"/>
      <c r="K273" s="230"/>
      <c r="L273" s="230"/>
      <c r="M273" s="230"/>
      <c r="N273" s="315"/>
      <c r="O273" s="315"/>
      <c r="P273" s="389">
        <f t="shared" si="40"/>
        <v>7100</v>
      </c>
      <c r="Q273" s="65"/>
      <c r="R273" s="206">
        <f t="shared" si="41"/>
        <v>69</v>
      </c>
      <c r="S273" s="315"/>
      <c r="T273" s="315"/>
      <c r="U273" s="315"/>
      <c r="V273" s="315"/>
      <c r="W273" s="315"/>
      <c r="X273" s="317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20"/>
      <c r="AR273" s="317"/>
      <c r="AS273" s="319"/>
      <c r="AT273" s="319"/>
      <c r="AU273" s="319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19"/>
      <c r="BI273" s="261"/>
      <c r="BJ273" s="261"/>
      <c r="BK273" s="261"/>
      <c r="BL273" s="261"/>
      <c r="BM273" s="261"/>
      <c r="BN273" s="261"/>
      <c r="BO273" s="261"/>
      <c r="BP273" s="261"/>
      <c r="BQ273" s="261"/>
      <c r="BR273" s="261"/>
      <c r="BS273" s="261"/>
      <c r="BT273" s="261"/>
      <c r="BU273" s="261"/>
      <c r="BV273" s="261"/>
      <c r="BW273" s="261"/>
    </row>
    <row r="274" spans="2:75" ht="15.05" customHeight="1">
      <c r="B274" s="230"/>
      <c r="C274" s="230"/>
      <c r="D274" s="230"/>
      <c r="E274" s="230"/>
      <c r="F274" s="230"/>
      <c r="G274" s="230"/>
      <c r="H274" s="230"/>
      <c r="I274" s="230"/>
      <c r="J274" s="230"/>
      <c r="K274" s="230"/>
      <c r="L274" s="230"/>
      <c r="M274" s="230"/>
      <c r="N274" s="315"/>
      <c r="O274" s="315"/>
      <c r="P274" s="389">
        <f t="shared" si="40"/>
        <v>7200</v>
      </c>
      <c r="Q274" s="65"/>
      <c r="R274" s="206">
        <f t="shared" si="41"/>
        <v>70</v>
      </c>
      <c r="S274" s="315"/>
      <c r="T274" s="315"/>
      <c r="U274" s="315"/>
      <c r="V274" s="315"/>
      <c r="W274" s="315"/>
      <c r="X274" s="317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20"/>
      <c r="AR274" s="317"/>
      <c r="AS274" s="319"/>
      <c r="AT274" s="319"/>
      <c r="AU274" s="319"/>
      <c r="AV274" s="319"/>
      <c r="AW274" s="319"/>
      <c r="AX274" s="319"/>
      <c r="AY274" s="319"/>
      <c r="AZ274" s="319"/>
      <c r="BA274" s="319"/>
      <c r="BB274" s="319"/>
      <c r="BC274" s="319"/>
      <c r="BD274" s="319"/>
      <c r="BE274" s="319"/>
      <c r="BF274" s="319"/>
      <c r="BG274" s="319"/>
      <c r="BH274" s="319"/>
      <c r="BI274" s="261"/>
      <c r="BJ274" s="261"/>
      <c r="BK274" s="261"/>
      <c r="BL274" s="261"/>
      <c r="BM274" s="261"/>
      <c r="BN274" s="261"/>
      <c r="BO274" s="261"/>
      <c r="BP274" s="261"/>
      <c r="BQ274" s="261"/>
      <c r="BR274" s="261"/>
      <c r="BS274" s="261"/>
      <c r="BT274" s="261"/>
      <c r="BU274" s="261"/>
      <c r="BV274" s="261"/>
      <c r="BW274" s="261"/>
    </row>
    <row r="275" spans="2:75" ht="15.05" customHeight="1">
      <c r="B275" s="230"/>
      <c r="C275" s="230"/>
      <c r="D275" s="230"/>
      <c r="E275" s="230"/>
      <c r="F275" s="230"/>
      <c r="G275" s="230"/>
      <c r="H275" s="230"/>
      <c r="I275" s="230"/>
      <c r="J275" s="230"/>
      <c r="K275" s="230"/>
      <c r="L275" s="230"/>
      <c r="M275" s="230"/>
      <c r="N275" s="315"/>
      <c r="O275" s="315"/>
      <c r="P275" s="389">
        <f t="shared" si="40"/>
        <v>7300</v>
      </c>
      <c r="Q275" s="65"/>
      <c r="R275" s="206">
        <f t="shared" si="41"/>
        <v>71</v>
      </c>
      <c r="S275" s="315"/>
      <c r="T275" s="315"/>
      <c r="U275" s="315"/>
      <c r="V275" s="315"/>
      <c r="W275" s="315"/>
      <c r="X275" s="317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20"/>
      <c r="AR275" s="317"/>
      <c r="AS275" s="319"/>
      <c r="AT275" s="319"/>
      <c r="AU275" s="319"/>
      <c r="AV275" s="319"/>
      <c r="AW275" s="319"/>
      <c r="AX275" s="319"/>
      <c r="AY275" s="319"/>
      <c r="AZ275" s="319"/>
      <c r="BA275" s="319"/>
      <c r="BB275" s="319"/>
      <c r="BC275" s="319"/>
      <c r="BD275" s="319"/>
      <c r="BE275" s="319"/>
      <c r="BF275" s="319"/>
      <c r="BG275" s="319"/>
      <c r="BH275" s="319"/>
      <c r="BI275" s="261"/>
      <c r="BJ275" s="261"/>
      <c r="BK275" s="261"/>
      <c r="BL275" s="261"/>
      <c r="BM275" s="261"/>
      <c r="BN275" s="261"/>
      <c r="BO275" s="261"/>
      <c r="BP275" s="261"/>
      <c r="BQ275" s="261"/>
      <c r="BR275" s="261"/>
      <c r="BS275" s="261"/>
      <c r="BT275" s="261"/>
      <c r="BU275" s="261"/>
      <c r="BV275" s="261"/>
      <c r="BW275" s="261"/>
    </row>
    <row r="276" spans="2:75" ht="15.05" customHeight="1">
      <c r="B276" s="230"/>
      <c r="C276" s="230"/>
      <c r="D276" s="230"/>
      <c r="E276" s="230"/>
      <c r="F276" s="230"/>
      <c r="G276" s="230"/>
      <c r="H276" s="230"/>
      <c r="I276" s="230"/>
      <c r="J276" s="230"/>
      <c r="K276" s="230"/>
      <c r="L276" s="230"/>
      <c r="M276" s="230"/>
      <c r="N276" s="315"/>
      <c r="O276" s="315"/>
      <c r="P276" s="389">
        <f t="shared" si="40"/>
        <v>7400</v>
      </c>
      <c r="Q276" s="65"/>
      <c r="R276" s="206">
        <f t="shared" si="41"/>
        <v>72</v>
      </c>
      <c r="S276" s="315"/>
      <c r="T276" s="315"/>
      <c r="U276" s="315"/>
      <c r="V276" s="315"/>
      <c r="W276" s="315"/>
      <c r="X276" s="317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20"/>
      <c r="AR276" s="317"/>
      <c r="AS276" s="319"/>
      <c r="AT276" s="319"/>
      <c r="AU276" s="319"/>
      <c r="AV276" s="319"/>
      <c r="AW276" s="319"/>
      <c r="AX276" s="319"/>
      <c r="AY276" s="319"/>
      <c r="AZ276" s="319"/>
      <c r="BA276" s="319"/>
      <c r="BB276" s="319"/>
      <c r="BC276" s="319"/>
      <c r="BD276" s="319"/>
      <c r="BE276" s="319"/>
      <c r="BF276" s="319"/>
      <c r="BG276" s="319"/>
      <c r="BH276" s="319"/>
      <c r="BI276" s="261"/>
      <c r="BJ276" s="261"/>
      <c r="BK276" s="261"/>
      <c r="BL276" s="261"/>
      <c r="BM276" s="261"/>
      <c r="BN276" s="261"/>
      <c r="BO276" s="261"/>
      <c r="BP276" s="261"/>
      <c r="BQ276" s="261"/>
      <c r="BR276" s="261"/>
      <c r="BS276" s="261"/>
      <c r="BT276" s="261"/>
      <c r="BU276" s="261"/>
      <c r="BV276" s="261"/>
      <c r="BW276" s="261"/>
    </row>
    <row r="277" spans="2:75" ht="15.05" customHeight="1">
      <c r="B277" s="230"/>
      <c r="C277" s="230"/>
      <c r="D277" s="230"/>
      <c r="E277" s="230"/>
      <c r="F277" s="230"/>
      <c r="G277" s="230"/>
      <c r="H277" s="230"/>
      <c r="I277" s="230"/>
      <c r="J277" s="230"/>
      <c r="K277" s="230"/>
      <c r="L277" s="230"/>
      <c r="M277" s="230"/>
      <c r="N277" s="315"/>
      <c r="O277" s="315"/>
      <c r="P277" s="389">
        <f t="shared" si="40"/>
        <v>7500</v>
      </c>
      <c r="Q277" s="65"/>
      <c r="R277" s="206">
        <f t="shared" si="41"/>
        <v>73</v>
      </c>
      <c r="S277" s="315"/>
      <c r="T277" s="315"/>
      <c r="U277" s="315"/>
      <c r="V277" s="315"/>
      <c r="W277" s="315"/>
      <c r="X277" s="317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20"/>
      <c r="AR277" s="317"/>
      <c r="AS277" s="319"/>
      <c r="AT277" s="319"/>
      <c r="AU277" s="319"/>
      <c r="AV277" s="319"/>
      <c r="AW277" s="319"/>
      <c r="AX277" s="319"/>
      <c r="AY277" s="319"/>
      <c r="AZ277" s="319"/>
      <c r="BA277" s="319"/>
      <c r="BB277" s="319"/>
      <c r="BC277" s="319"/>
      <c r="BD277" s="319"/>
      <c r="BE277" s="319"/>
      <c r="BF277" s="319"/>
      <c r="BG277" s="319"/>
      <c r="BH277" s="319"/>
      <c r="BI277" s="261"/>
      <c r="BJ277" s="261"/>
      <c r="BK277" s="261"/>
      <c r="BL277" s="261"/>
      <c r="BM277" s="261"/>
      <c r="BN277" s="261"/>
      <c r="BO277" s="261"/>
      <c r="BP277" s="261"/>
      <c r="BQ277" s="261"/>
      <c r="BR277" s="261"/>
      <c r="BS277" s="261"/>
      <c r="BT277" s="261"/>
      <c r="BU277" s="261"/>
      <c r="BV277" s="261"/>
      <c r="BW277" s="261"/>
    </row>
    <row r="278" spans="2:75" ht="15.05" customHeight="1">
      <c r="B278" s="230"/>
      <c r="C278" s="230"/>
      <c r="D278" s="230"/>
      <c r="E278" s="230"/>
      <c r="F278" s="230"/>
      <c r="G278" s="230"/>
      <c r="H278" s="230"/>
      <c r="I278" s="230"/>
      <c r="J278" s="230"/>
      <c r="K278" s="230"/>
      <c r="L278" s="230"/>
      <c r="M278" s="230"/>
      <c r="N278" s="315"/>
      <c r="O278" s="315"/>
      <c r="P278" s="389">
        <f t="shared" si="40"/>
        <v>7600</v>
      </c>
      <c r="Q278" s="65"/>
      <c r="R278" s="206">
        <f t="shared" si="41"/>
        <v>74</v>
      </c>
      <c r="S278" s="315"/>
      <c r="T278" s="315"/>
      <c r="U278" s="315"/>
      <c r="V278" s="315"/>
      <c r="W278" s="315"/>
      <c r="X278" s="317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20"/>
      <c r="AR278" s="317"/>
      <c r="AS278" s="319"/>
      <c r="AT278" s="319"/>
      <c r="AU278" s="319"/>
      <c r="AV278" s="319"/>
      <c r="AW278" s="319"/>
      <c r="AX278" s="319"/>
      <c r="AY278" s="319"/>
      <c r="AZ278" s="319"/>
      <c r="BA278" s="319"/>
      <c r="BB278" s="319"/>
      <c r="BC278" s="319"/>
      <c r="BD278" s="319"/>
      <c r="BE278" s="319"/>
      <c r="BF278" s="319"/>
      <c r="BG278" s="319"/>
      <c r="BH278" s="319"/>
      <c r="BI278" s="261"/>
      <c r="BJ278" s="261"/>
      <c r="BK278" s="261"/>
      <c r="BL278" s="261"/>
      <c r="BM278" s="261"/>
      <c r="BN278" s="261"/>
      <c r="BO278" s="261"/>
      <c r="BP278" s="261"/>
      <c r="BQ278" s="261"/>
      <c r="BR278" s="261"/>
      <c r="BS278" s="261"/>
      <c r="BT278" s="261"/>
      <c r="BU278" s="261"/>
      <c r="BV278" s="261"/>
      <c r="BW278" s="261"/>
    </row>
    <row r="279" spans="2:75" ht="15.05" customHeight="1">
      <c r="B279" s="230"/>
      <c r="C279" s="230"/>
      <c r="D279" s="230"/>
      <c r="E279" s="230"/>
      <c r="F279" s="230"/>
      <c r="G279" s="230"/>
      <c r="H279" s="230"/>
      <c r="I279" s="230"/>
      <c r="J279" s="230"/>
      <c r="K279" s="230"/>
      <c r="L279" s="230"/>
      <c r="M279" s="230"/>
      <c r="N279" s="315"/>
      <c r="O279" s="315"/>
      <c r="P279" s="389">
        <f t="shared" si="40"/>
        <v>7700</v>
      </c>
      <c r="Q279" s="65"/>
      <c r="R279" s="206">
        <f t="shared" si="41"/>
        <v>75</v>
      </c>
      <c r="S279" s="315"/>
      <c r="T279" s="315"/>
      <c r="U279" s="315"/>
      <c r="V279" s="315"/>
      <c r="W279" s="315"/>
      <c r="X279" s="317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20"/>
      <c r="AR279" s="317"/>
      <c r="AS279" s="319"/>
      <c r="AT279" s="319"/>
      <c r="AU279" s="319"/>
      <c r="AV279" s="319"/>
      <c r="AW279" s="319"/>
      <c r="AX279" s="319"/>
      <c r="AY279" s="319"/>
      <c r="AZ279" s="319"/>
      <c r="BA279" s="319"/>
      <c r="BB279" s="319"/>
      <c r="BC279" s="319"/>
      <c r="BD279" s="319"/>
      <c r="BE279" s="319"/>
      <c r="BF279" s="319"/>
      <c r="BG279" s="319"/>
      <c r="BH279" s="319"/>
      <c r="BI279" s="261"/>
      <c r="BJ279" s="261"/>
      <c r="BK279" s="261"/>
      <c r="BL279" s="261"/>
      <c r="BM279" s="261"/>
      <c r="BN279" s="261"/>
      <c r="BO279" s="261"/>
      <c r="BP279" s="261"/>
      <c r="BQ279" s="261"/>
      <c r="BR279" s="261"/>
      <c r="BS279" s="261"/>
      <c r="BT279" s="261"/>
      <c r="BU279" s="261"/>
      <c r="BV279" s="261"/>
      <c r="BW279" s="261"/>
    </row>
    <row r="280" spans="2:75" ht="15.05" customHeight="1">
      <c r="B280" s="230"/>
      <c r="C280" s="230"/>
      <c r="D280" s="230"/>
      <c r="E280" s="230"/>
      <c r="F280" s="230"/>
      <c r="G280" s="230"/>
      <c r="H280" s="230"/>
      <c r="I280" s="230"/>
      <c r="J280" s="230"/>
      <c r="K280" s="230"/>
      <c r="L280" s="230"/>
      <c r="M280" s="230"/>
      <c r="N280" s="315"/>
      <c r="O280" s="315"/>
      <c r="P280" s="389">
        <f t="shared" si="40"/>
        <v>7800</v>
      </c>
      <c r="Q280" s="65"/>
      <c r="R280" s="206">
        <f t="shared" si="41"/>
        <v>76</v>
      </c>
      <c r="S280" s="315"/>
      <c r="T280" s="315"/>
      <c r="U280" s="315"/>
      <c r="V280" s="315"/>
      <c r="W280" s="315"/>
      <c r="X280" s="317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20"/>
      <c r="AR280" s="317"/>
      <c r="AS280" s="319"/>
      <c r="AT280" s="319"/>
      <c r="AU280" s="319"/>
      <c r="AV280" s="319"/>
      <c r="AW280" s="319"/>
      <c r="AX280" s="319"/>
      <c r="AY280" s="319"/>
      <c r="AZ280" s="319"/>
      <c r="BA280" s="319"/>
      <c r="BB280" s="319"/>
      <c r="BC280" s="319"/>
      <c r="BD280" s="319"/>
      <c r="BE280" s="319"/>
      <c r="BF280" s="319"/>
      <c r="BG280" s="319"/>
      <c r="BH280" s="319"/>
      <c r="BI280" s="261"/>
      <c r="BJ280" s="261"/>
      <c r="BK280" s="261"/>
      <c r="BL280" s="261"/>
      <c r="BM280" s="261"/>
      <c r="BN280" s="261"/>
      <c r="BO280" s="261"/>
      <c r="BP280" s="261"/>
      <c r="BQ280" s="261"/>
      <c r="BR280" s="261"/>
      <c r="BS280" s="261"/>
      <c r="BT280" s="261"/>
      <c r="BU280" s="261"/>
      <c r="BV280" s="261"/>
      <c r="BW280" s="261"/>
    </row>
    <row r="281" spans="2:75" ht="15.05" customHeight="1">
      <c r="B281" s="230"/>
      <c r="C281" s="230"/>
      <c r="D281" s="230"/>
      <c r="E281" s="230"/>
      <c r="F281" s="230"/>
      <c r="G281" s="230"/>
      <c r="H281" s="230"/>
      <c r="I281" s="230"/>
      <c r="J281" s="230"/>
      <c r="K281" s="230"/>
      <c r="L281" s="230"/>
      <c r="M281" s="230"/>
      <c r="N281" s="315"/>
      <c r="O281" s="315"/>
      <c r="P281" s="389">
        <f t="shared" si="40"/>
        <v>7900</v>
      </c>
      <c r="Q281" s="65"/>
      <c r="R281" s="206">
        <f t="shared" si="41"/>
        <v>77</v>
      </c>
      <c r="S281" s="315"/>
      <c r="T281" s="315"/>
      <c r="U281" s="315"/>
      <c r="V281" s="315"/>
      <c r="W281" s="315"/>
      <c r="X281" s="317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20"/>
      <c r="AR281" s="317"/>
      <c r="AS281" s="319"/>
      <c r="AT281" s="319"/>
      <c r="AU281" s="319"/>
      <c r="AV281" s="319"/>
      <c r="AW281" s="319"/>
      <c r="AX281" s="319"/>
      <c r="AY281" s="319"/>
      <c r="AZ281" s="319"/>
      <c r="BA281" s="319"/>
      <c r="BB281" s="319"/>
      <c r="BC281" s="319"/>
      <c r="BD281" s="319"/>
      <c r="BE281" s="319"/>
      <c r="BF281" s="319"/>
      <c r="BG281" s="319"/>
      <c r="BH281" s="319"/>
      <c r="BI281" s="261"/>
      <c r="BJ281" s="261"/>
      <c r="BK281" s="261"/>
      <c r="BL281" s="261"/>
      <c r="BM281" s="261"/>
      <c r="BN281" s="261"/>
      <c r="BO281" s="261"/>
      <c r="BP281" s="261"/>
      <c r="BQ281" s="261"/>
      <c r="BR281" s="261"/>
      <c r="BS281" s="261"/>
      <c r="BT281" s="261"/>
      <c r="BU281" s="261"/>
      <c r="BV281" s="261"/>
      <c r="BW281" s="261"/>
    </row>
    <row r="282" spans="2:75" ht="15.05" customHeight="1">
      <c r="B282" s="230"/>
      <c r="C282" s="230"/>
      <c r="D282" s="230"/>
      <c r="E282" s="230"/>
      <c r="F282" s="230"/>
      <c r="G282" s="230"/>
      <c r="H282" s="230"/>
      <c r="I282" s="230"/>
      <c r="J282" s="230"/>
      <c r="K282" s="230"/>
      <c r="L282" s="230"/>
      <c r="M282" s="230"/>
      <c r="N282" s="315"/>
      <c r="O282" s="315"/>
      <c r="P282" s="389">
        <f t="shared" si="40"/>
        <v>8000</v>
      </c>
      <c r="Q282" s="65"/>
      <c r="R282" s="206">
        <f t="shared" si="41"/>
        <v>78</v>
      </c>
      <c r="S282" s="315"/>
      <c r="T282" s="315"/>
      <c r="U282" s="315"/>
      <c r="V282" s="315"/>
      <c r="W282" s="315"/>
      <c r="X282" s="317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20"/>
      <c r="AR282" s="317"/>
      <c r="AS282" s="319"/>
      <c r="AT282" s="319"/>
      <c r="AU282" s="319"/>
      <c r="AV282" s="319"/>
      <c r="AW282" s="319"/>
      <c r="AX282" s="319"/>
      <c r="AY282" s="319"/>
      <c r="AZ282" s="319"/>
      <c r="BA282" s="319"/>
      <c r="BB282" s="319"/>
      <c r="BC282" s="319"/>
      <c r="BD282" s="319"/>
      <c r="BE282" s="319"/>
      <c r="BF282" s="319"/>
      <c r="BG282" s="319"/>
      <c r="BH282" s="319"/>
      <c r="BI282" s="261"/>
      <c r="BJ282" s="261"/>
      <c r="BK282" s="261"/>
      <c r="BL282" s="261"/>
      <c r="BM282" s="261"/>
      <c r="BN282" s="261"/>
      <c r="BO282" s="261"/>
      <c r="BP282" s="261"/>
      <c r="BQ282" s="261"/>
      <c r="BR282" s="261"/>
      <c r="BS282" s="261"/>
      <c r="BT282" s="261"/>
      <c r="BU282" s="261"/>
      <c r="BV282" s="261"/>
      <c r="BW282" s="261"/>
    </row>
    <row r="283" spans="2:75" ht="15.05" customHeight="1">
      <c r="B283" s="230"/>
      <c r="C283" s="230"/>
      <c r="D283" s="230"/>
      <c r="E283" s="230"/>
      <c r="F283" s="230"/>
      <c r="G283" s="230"/>
      <c r="H283" s="230"/>
      <c r="I283" s="230"/>
      <c r="J283" s="230"/>
      <c r="K283" s="230"/>
      <c r="L283" s="230"/>
      <c r="M283" s="230"/>
      <c r="N283" s="315"/>
      <c r="O283" s="315"/>
      <c r="P283" s="389"/>
      <c r="Q283" s="65"/>
      <c r="R283" s="206">
        <f t="shared" si="41"/>
        <v>79</v>
      </c>
      <c r="S283" s="315"/>
      <c r="T283" s="315"/>
      <c r="U283" s="315"/>
      <c r="V283" s="315"/>
      <c r="W283" s="315"/>
      <c r="X283" s="317"/>
      <c r="Y283" s="315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315"/>
      <c r="AQ283" s="320"/>
      <c r="AR283" s="317"/>
      <c r="AS283" s="319"/>
      <c r="AT283" s="319"/>
      <c r="AU283" s="319"/>
      <c r="AV283" s="319"/>
      <c r="AW283" s="319"/>
      <c r="AX283" s="319"/>
      <c r="AY283" s="319"/>
      <c r="AZ283" s="319"/>
      <c r="BA283" s="319"/>
      <c r="BB283" s="319"/>
      <c r="BC283" s="319"/>
      <c r="BD283" s="319"/>
      <c r="BE283" s="319"/>
      <c r="BF283" s="319"/>
      <c r="BG283" s="319"/>
      <c r="BH283" s="319"/>
      <c r="BI283" s="261"/>
      <c r="BJ283" s="261"/>
      <c r="BK283" s="261"/>
      <c r="BL283" s="261"/>
      <c r="BM283" s="261"/>
      <c r="BN283" s="261"/>
      <c r="BO283" s="261"/>
      <c r="BP283" s="261"/>
      <c r="BQ283" s="261"/>
      <c r="BR283" s="261"/>
      <c r="BS283" s="261"/>
      <c r="BT283" s="261"/>
      <c r="BU283" s="261"/>
      <c r="BV283" s="261"/>
      <c r="BW283" s="261"/>
    </row>
    <row r="284" spans="2:75" ht="15.05" customHeight="1">
      <c r="B284" s="230"/>
      <c r="C284" s="230"/>
      <c r="D284" s="230"/>
      <c r="E284" s="230"/>
      <c r="F284" s="230"/>
      <c r="G284" s="230"/>
      <c r="H284" s="230"/>
      <c r="I284" s="230"/>
      <c r="J284" s="230"/>
      <c r="K284" s="230"/>
      <c r="L284" s="230"/>
      <c r="M284" s="230"/>
      <c r="N284" s="315"/>
      <c r="O284" s="315"/>
      <c r="P284" s="389"/>
      <c r="Q284" s="65"/>
      <c r="R284" s="206">
        <f t="shared" si="41"/>
        <v>80</v>
      </c>
      <c r="S284" s="315"/>
      <c r="T284" s="315"/>
      <c r="U284" s="315"/>
      <c r="V284" s="315"/>
      <c r="W284" s="315"/>
      <c r="X284" s="317"/>
      <c r="Y284" s="315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315"/>
      <c r="AQ284" s="320"/>
      <c r="AR284" s="317"/>
      <c r="AS284" s="319"/>
      <c r="AT284" s="319"/>
      <c r="AU284" s="319"/>
      <c r="AV284" s="319"/>
      <c r="AW284" s="319"/>
      <c r="AX284" s="319"/>
      <c r="AY284" s="319"/>
      <c r="AZ284" s="319"/>
      <c r="BA284" s="319"/>
      <c r="BB284" s="319"/>
      <c r="BC284" s="319"/>
      <c r="BD284" s="319"/>
      <c r="BE284" s="319"/>
      <c r="BF284" s="319"/>
      <c r="BG284" s="319"/>
      <c r="BH284" s="319"/>
      <c r="BI284" s="261"/>
      <c r="BJ284" s="261"/>
      <c r="BK284" s="261"/>
      <c r="BL284" s="261"/>
      <c r="BM284" s="261"/>
      <c r="BN284" s="261"/>
      <c r="BO284" s="261"/>
      <c r="BP284" s="261"/>
      <c r="BQ284" s="261"/>
      <c r="BR284" s="261"/>
      <c r="BS284" s="261"/>
      <c r="BT284" s="261"/>
      <c r="BU284" s="261"/>
      <c r="BV284" s="261"/>
      <c r="BW284" s="261"/>
    </row>
    <row r="285" spans="2:75" ht="15.05" customHeight="1">
      <c r="B285" s="230"/>
      <c r="C285" s="230"/>
      <c r="D285" s="230"/>
      <c r="E285" s="230"/>
      <c r="F285" s="230"/>
      <c r="G285" s="230"/>
      <c r="H285" s="230"/>
      <c r="I285" s="230"/>
      <c r="J285" s="230"/>
      <c r="K285" s="230"/>
      <c r="L285" s="230"/>
      <c r="M285" s="230"/>
      <c r="N285" s="315"/>
      <c r="O285" s="315"/>
      <c r="P285" s="389"/>
      <c r="Q285" s="65"/>
      <c r="R285" s="206">
        <f t="shared" si="41"/>
        <v>81</v>
      </c>
      <c r="S285" s="315"/>
      <c r="T285" s="315"/>
      <c r="U285" s="315"/>
      <c r="V285" s="315"/>
      <c r="W285" s="315"/>
      <c r="X285" s="317"/>
      <c r="Y285" s="315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315"/>
      <c r="AQ285" s="320"/>
      <c r="AR285" s="317"/>
      <c r="AS285" s="319"/>
      <c r="AT285" s="319"/>
      <c r="AU285" s="319"/>
      <c r="AV285" s="319"/>
      <c r="AW285" s="319"/>
      <c r="AX285" s="319"/>
      <c r="AY285" s="319"/>
      <c r="AZ285" s="319"/>
      <c r="BA285" s="319"/>
      <c r="BB285" s="319"/>
      <c r="BC285" s="319"/>
      <c r="BD285" s="319"/>
      <c r="BE285" s="319"/>
      <c r="BF285" s="319"/>
      <c r="BG285" s="319"/>
      <c r="BH285" s="319"/>
      <c r="BI285" s="261"/>
      <c r="BJ285" s="261"/>
      <c r="BK285" s="261"/>
      <c r="BL285" s="261"/>
      <c r="BM285" s="261"/>
      <c r="BN285" s="261"/>
      <c r="BO285" s="261"/>
      <c r="BP285" s="261"/>
      <c r="BQ285" s="261"/>
      <c r="BR285" s="261"/>
      <c r="BS285" s="261"/>
      <c r="BT285" s="261"/>
      <c r="BU285" s="261"/>
      <c r="BV285" s="261"/>
      <c r="BW285" s="261"/>
    </row>
    <row r="286" spans="2:75" ht="15.05" customHeight="1">
      <c r="B286" s="230"/>
      <c r="C286" s="230"/>
      <c r="D286" s="230"/>
      <c r="E286" s="230"/>
      <c r="F286" s="230"/>
      <c r="G286" s="230"/>
      <c r="H286" s="230"/>
      <c r="I286" s="230"/>
      <c r="J286" s="230"/>
      <c r="K286" s="230"/>
      <c r="L286" s="230"/>
      <c r="M286" s="230"/>
      <c r="N286" s="315"/>
      <c r="O286" s="315"/>
      <c r="P286" s="389"/>
      <c r="Q286" s="65"/>
      <c r="R286" s="206">
        <f t="shared" si="41"/>
        <v>82</v>
      </c>
      <c r="S286" s="315"/>
      <c r="T286" s="315"/>
      <c r="U286" s="315"/>
      <c r="V286" s="315"/>
      <c r="W286" s="315"/>
      <c r="X286" s="317"/>
      <c r="Y286" s="315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315"/>
      <c r="AQ286" s="320"/>
      <c r="AR286" s="317"/>
      <c r="AS286" s="319"/>
      <c r="AT286" s="319"/>
      <c r="AU286" s="319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19"/>
      <c r="BI286" s="261"/>
      <c r="BJ286" s="261"/>
      <c r="BK286" s="261"/>
      <c r="BL286" s="261"/>
      <c r="BM286" s="261"/>
      <c r="BN286" s="261"/>
      <c r="BO286" s="261"/>
      <c r="BP286" s="261"/>
      <c r="BQ286" s="261"/>
      <c r="BR286" s="261"/>
      <c r="BS286" s="261"/>
      <c r="BT286" s="261"/>
      <c r="BU286" s="261"/>
      <c r="BV286" s="261"/>
      <c r="BW286" s="261"/>
    </row>
    <row r="287" spans="2:75" ht="15.05" customHeight="1">
      <c r="B287" s="230"/>
      <c r="C287" s="230"/>
      <c r="D287" s="230"/>
      <c r="E287" s="230"/>
      <c r="F287" s="230"/>
      <c r="G287" s="230"/>
      <c r="H287" s="230"/>
      <c r="I287" s="230"/>
      <c r="J287" s="230"/>
      <c r="K287" s="230"/>
      <c r="L287" s="230"/>
      <c r="M287" s="230"/>
      <c r="N287" s="315"/>
      <c r="O287" s="315"/>
      <c r="P287" s="389"/>
      <c r="Q287" s="65"/>
      <c r="R287" s="206">
        <f t="shared" si="41"/>
        <v>83</v>
      </c>
      <c r="S287" s="315"/>
      <c r="T287" s="315"/>
      <c r="U287" s="315"/>
      <c r="V287" s="315"/>
      <c r="W287" s="315"/>
      <c r="X287" s="317"/>
      <c r="Y287" s="315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315"/>
      <c r="AQ287" s="320"/>
      <c r="AR287" s="317"/>
      <c r="AS287" s="319"/>
      <c r="AT287" s="319"/>
      <c r="AU287" s="319"/>
      <c r="AV287" s="319"/>
      <c r="AW287" s="319"/>
      <c r="AX287" s="319"/>
      <c r="AY287" s="319"/>
      <c r="AZ287" s="319"/>
      <c r="BA287" s="319"/>
      <c r="BB287" s="319"/>
      <c r="BC287" s="319"/>
      <c r="BD287" s="319"/>
      <c r="BE287" s="319"/>
      <c r="BF287" s="319"/>
      <c r="BG287" s="319"/>
      <c r="BH287" s="319"/>
      <c r="BI287" s="261"/>
      <c r="BJ287" s="261"/>
      <c r="BK287" s="261"/>
      <c r="BL287" s="261"/>
      <c r="BM287" s="261"/>
      <c r="BN287" s="261"/>
      <c r="BO287" s="261"/>
      <c r="BP287" s="261"/>
      <c r="BQ287" s="261"/>
      <c r="BR287" s="261"/>
      <c r="BS287" s="261"/>
      <c r="BT287" s="261"/>
      <c r="BU287" s="261"/>
      <c r="BV287" s="261"/>
      <c r="BW287" s="261"/>
    </row>
    <row r="288" spans="2:75" ht="15.05" customHeight="1">
      <c r="B288" s="230"/>
      <c r="C288" s="230"/>
      <c r="D288" s="230"/>
      <c r="E288" s="230"/>
      <c r="F288" s="230"/>
      <c r="G288" s="230"/>
      <c r="H288" s="230"/>
      <c r="I288" s="230"/>
      <c r="J288" s="230"/>
      <c r="K288" s="230"/>
      <c r="L288" s="230"/>
      <c r="M288" s="230"/>
      <c r="N288" s="315"/>
      <c r="O288" s="315"/>
      <c r="P288" s="389"/>
      <c r="Q288" s="65"/>
      <c r="R288" s="206">
        <f t="shared" si="41"/>
        <v>84</v>
      </c>
      <c r="S288" s="315"/>
      <c r="T288" s="315"/>
      <c r="U288" s="315"/>
      <c r="V288" s="315"/>
      <c r="W288" s="315"/>
      <c r="X288" s="317"/>
      <c r="Y288" s="315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315"/>
      <c r="AJ288" s="315"/>
      <c r="AK288" s="315"/>
      <c r="AL288" s="315"/>
      <c r="AM288" s="315"/>
      <c r="AN288" s="315"/>
      <c r="AO288" s="315"/>
      <c r="AP288" s="315"/>
      <c r="AQ288" s="320"/>
      <c r="AR288" s="317"/>
      <c r="AS288" s="319"/>
      <c r="AT288" s="319"/>
      <c r="AU288" s="319"/>
      <c r="AV288" s="319"/>
      <c r="AW288" s="319"/>
      <c r="AX288" s="319"/>
      <c r="AY288" s="319"/>
      <c r="AZ288" s="319"/>
      <c r="BA288" s="319"/>
      <c r="BB288" s="319"/>
      <c r="BC288" s="319"/>
      <c r="BD288" s="319"/>
      <c r="BE288" s="319"/>
      <c r="BF288" s="319"/>
      <c r="BG288" s="319"/>
      <c r="BH288" s="319"/>
      <c r="BI288" s="261"/>
      <c r="BJ288" s="261"/>
      <c r="BK288" s="261"/>
      <c r="BL288" s="261"/>
      <c r="BM288" s="261"/>
      <c r="BN288" s="261"/>
      <c r="BO288" s="261"/>
      <c r="BP288" s="261"/>
      <c r="BQ288" s="261"/>
      <c r="BR288" s="261"/>
      <c r="BS288" s="261"/>
      <c r="BT288" s="261"/>
      <c r="BU288" s="261"/>
      <c r="BV288" s="261"/>
      <c r="BW288" s="261"/>
    </row>
    <row r="289" spans="2:75" ht="15.05" customHeight="1">
      <c r="B289" s="230"/>
      <c r="C289" s="230"/>
      <c r="D289" s="230"/>
      <c r="E289" s="230"/>
      <c r="F289" s="230"/>
      <c r="G289" s="230"/>
      <c r="H289" s="230"/>
      <c r="I289" s="230"/>
      <c r="J289" s="230"/>
      <c r="K289" s="230"/>
      <c r="L289" s="230"/>
      <c r="M289" s="230"/>
      <c r="N289" s="315"/>
      <c r="O289" s="315"/>
      <c r="P289" s="389"/>
      <c r="Q289" s="65"/>
      <c r="R289" s="206">
        <f t="shared" si="41"/>
        <v>85</v>
      </c>
      <c r="S289" s="315"/>
      <c r="T289" s="315"/>
      <c r="U289" s="315"/>
      <c r="V289" s="315"/>
      <c r="W289" s="315"/>
      <c r="X289" s="317"/>
      <c r="Y289" s="315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315"/>
      <c r="AL289" s="315"/>
      <c r="AM289" s="315"/>
      <c r="AN289" s="315"/>
      <c r="AO289" s="315"/>
      <c r="AP289" s="315"/>
      <c r="AQ289" s="320"/>
      <c r="AR289" s="317"/>
      <c r="AS289" s="319"/>
      <c r="AT289" s="319"/>
      <c r="AU289" s="319"/>
      <c r="AV289" s="319"/>
      <c r="AW289" s="319"/>
      <c r="AX289" s="319"/>
      <c r="AY289" s="319"/>
      <c r="AZ289" s="319"/>
      <c r="BA289" s="319"/>
      <c r="BB289" s="319"/>
      <c r="BC289" s="319"/>
      <c r="BD289" s="319"/>
      <c r="BE289" s="319"/>
      <c r="BF289" s="319"/>
      <c r="BG289" s="319"/>
      <c r="BH289" s="319"/>
      <c r="BI289" s="261"/>
      <c r="BJ289" s="261"/>
      <c r="BK289" s="261"/>
      <c r="BL289" s="261"/>
      <c r="BM289" s="261"/>
      <c r="BN289" s="261"/>
      <c r="BO289" s="261"/>
      <c r="BP289" s="261"/>
      <c r="BQ289" s="261"/>
      <c r="BR289" s="261"/>
      <c r="BS289" s="261"/>
      <c r="BT289" s="261"/>
      <c r="BU289" s="261"/>
      <c r="BV289" s="261"/>
      <c r="BW289" s="261"/>
    </row>
    <row r="290" spans="2:75" ht="15.05" customHeight="1">
      <c r="B290" s="230"/>
      <c r="C290" s="230"/>
      <c r="D290" s="230"/>
      <c r="E290" s="230"/>
      <c r="F290" s="230"/>
      <c r="G290" s="230"/>
      <c r="H290" s="230"/>
      <c r="I290" s="230"/>
      <c r="J290" s="230"/>
      <c r="K290" s="230"/>
      <c r="L290" s="230"/>
      <c r="M290" s="230"/>
      <c r="N290" s="315"/>
      <c r="O290" s="315"/>
      <c r="P290" s="389"/>
      <c r="Q290" s="65"/>
      <c r="R290" s="206">
        <f t="shared" si="41"/>
        <v>86</v>
      </c>
      <c r="S290" s="315"/>
      <c r="T290" s="315"/>
      <c r="U290" s="315"/>
      <c r="V290" s="315"/>
      <c r="W290" s="315"/>
      <c r="X290" s="317"/>
      <c r="Y290" s="315"/>
      <c r="Z290" s="315"/>
      <c r="AA290" s="315"/>
      <c r="AB290" s="315"/>
      <c r="AC290" s="315"/>
      <c r="AD290" s="315"/>
      <c r="AE290" s="315"/>
      <c r="AF290" s="315"/>
      <c r="AG290" s="315"/>
      <c r="AH290" s="315"/>
      <c r="AI290" s="315"/>
      <c r="AJ290" s="315"/>
      <c r="AK290" s="315"/>
      <c r="AL290" s="315"/>
      <c r="AM290" s="315"/>
      <c r="AN290" s="315"/>
      <c r="AO290" s="315"/>
      <c r="AP290" s="315"/>
      <c r="AQ290" s="320"/>
      <c r="AR290" s="317"/>
      <c r="AS290" s="319"/>
      <c r="AT290" s="319"/>
      <c r="AU290" s="319"/>
      <c r="AV290" s="319"/>
      <c r="AW290" s="319"/>
      <c r="AX290" s="319"/>
      <c r="AY290" s="319"/>
      <c r="AZ290" s="319"/>
      <c r="BA290" s="319"/>
      <c r="BB290" s="319"/>
      <c r="BC290" s="319"/>
      <c r="BD290" s="319"/>
      <c r="BE290" s="319"/>
      <c r="BF290" s="319"/>
      <c r="BG290" s="319"/>
      <c r="BH290" s="319"/>
      <c r="BI290" s="261"/>
      <c r="BJ290" s="261"/>
      <c r="BK290" s="261"/>
      <c r="BL290" s="261"/>
      <c r="BM290" s="261"/>
      <c r="BN290" s="261"/>
      <c r="BO290" s="261"/>
      <c r="BP290" s="261"/>
      <c r="BQ290" s="261"/>
      <c r="BR290" s="261"/>
      <c r="BS290" s="261"/>
      <c r="BT290" s="261"/>
      <c r="BU290" s="261"/>
      <c r="BV290" s="261"/>
      <c r="BW290" s="261"/>
    </row>
    <row r="291" spans="2:75" ht="15.05" customHeight="1">
      <c r="B291" s="230"/>
      <c r="C291" s="230"/>
      <c r="D291" s="230"/>
      <c r="E291" s="230"/>
      <c r="F291" s="230"/>
      <c r="G291" s="230"/>
      <c r="H291" s="230"/>
      <c r="I291" s="230"/>
      <c r="J291" s="230"/>
      <c r="K291" s="230"/>
      <c r="L291" s="230"/>
      <c r="M291" s="230"/>
      <c r="N291" s="315"/>
      <c r="O291" s="315"/>
      <c r="P291" s="389"/>
      <c r="Q291" s="65"/>
      <c r="R291" s="206">
        <f t="shared" si="41"/>
        <v>87</v>
      </c>
      <c r="S291" s="315"/>
      <c r="T291" s="315"/>
      <c r="U291" s="315"/>
      <c r="V291" s="315"/>
      <c r="W291" s="315"/>
      <c r="X291" s="317"/>
      <c r="Y291" s="315"/>
      <c r="Z291" s="315"/>
      <c r="AA291" s="315"/>
      <c r="AB291" s="315"/>
      <c r="AC291" s="315"/>
      <c r="AD291" s="315"/>
      <c r="AE291" s="315"/>
      <c r="AF291" s="315"/>
      <c r="AG291" s="315"/>
      <c r="AH291" s="315"/>
      <c r="AI291" s="315"/>
      <c r="AJ291" s="315"/>
      <c r="AK291" s="315"/>
      <c r="AL291" s="315"/>
      <c r="AM291" s="315"/>
      <c r="AN291" s="315"/>
      <c r="AO291" s="315"/>
      <c r="AP291" s="315"/>
      <c r="AQ291" s="320"/>
      <c r="AR291" s="317"/>
      <c r="AS291" s="319"/>
      <c r="AT291" s="319"/>
      <c r="AU291" s="319"/>
      <c r="AV291" s="319"/>
      <c r="AW291" s="319"/>
      <c r="AX291" s="319"/>
      <c r="AY291" s="319"/>
      <c r="AZ291" s="319"/>
      <c r="BA291" s="319"/>
      <c r="BB291" s="319"/>
      <c r="BC291" s="319"/>
      <c r="BD291" s="319"/>
      <c r="BE291" s="319"/>
      <c r="BF291" s="319"/>
      <c r="BG291" s="319"/>
      <c r="BH291" s="319"/>
      <c r="BI291" s="261"/>
      <c r="BJ291" s="261"/>
      <c r="BK291" s="261"/>
      <c r="BL291" s="261"/>
      <c r="BM291" s="261"/>
      <c r="BN291" s="261"/>
      <c r="BO291" s="261"/>
      <c r="BP291" s="261"/>
      <c r="BQ291" s="261"/>
      <c r="BR291" s="261"/>
      <c r="BS291" s="261"/>
      <c r="BT291" s="261"/>
      <c r="BU291" s="261"/>
      <c r="BV291" s="261"/>
      <c r="BW291" s="261"/>
    </row>
    <row r="292" spans="2:75" ht="15.05" customHeight="1">
      <c r="B292" s="230"/>
      <c r="C292" s="230"/>
      <c r="D292" s="230"/>
      <c r="E292" s="230"/>
      <c r="F292" s="230"/>
      <c r="G292" s="230"/>
      <c r="H292" s="230"/>
      <c r="I292" s="230"/>
      <c r="J292" s="230"/>
      <c r="K292" s="230"/>
      <c r="L292" s="230"/>
      <c r="M292" s="230"/>
      <c r="N292" s="315"/>
      <c r="O292" s="315"/>
      <c r="P292" s="389"/>
      <c r="Q292" s="65"/>
      <c r="R292" s="206">
        <f t="shared" si="41"/>
        <v>88</v>
      </c>
      <c r="S292" s="315"/>
      <c r="T292" s="315"/>
      <c r="U292" s="315"/>
      <c r="V292" s="315"/>
      <c r="W292" s="315"/>
      <c r="X292" s="317"/>
      <c r="Y292" s="315"/>
      <c r="Z292" s="315"/>
      <c r="AA292" s="315"/>
      <c r="AB292" s="315"/>
      <c r="AC292" s="315"/>
      <c r="AD292" s="315"/>
      <c r="AE292" s="315"/>
      <c r="AF292" s="315"/>
      <c r="AG292" s="315"/>
      <c r="AH292" s="315"/>
      <c r="AI292" s="315"/>
      <c r="AJ292" s="315"/>
      <c r="AK292" s="315"/>
      <c r="AL292" s="315"/>
      <c r="AM292" s="315"/>
      <c r="AN292" s="315"/>
      <c r="AO292" s="315"/>
      <c r="AP292" s="315"/>
      <c r="AQ292" s="320"/>
      <c r="AR292" s="317"/>
      <c r="AS292" s="319"/>
      <c r="AT292" s="319"/>
      <c r="AU292" s="319"/>
      <c r="AV292" s="319"/>
      <c r="AW292" s="319"/>
      <c r="AX292" s="319"/>
      <c r="AY292" s="319"/>
      <c r="AZ292" s="319"/>
      <c r="BA292" s="319"/>
      <c r="BB292" s="319"/>
      <c r="BC292" s="319"/>
      <c r="BD292" s="319"/>
      <c r="BE292" s="319"/>
      <c r="BF292" s="319"/>
      <c r="BG292" s="319"/>
      <c r="BH292" s="319"/>
      <c r="BI292" s="261"/>
      <c r="BJ292" s="261"/>
      <c r="BK292" s="261"/>
      <c r="BL292" s="261"/>
      <c r="BM292" s="261"/>
      <c r="BN292" s="261"/>
      <c r="BO292" s="261"/>
      <c r="BP292" s="261"/>
      <c r="BQ292" s="261"/>
      <c r="BR292" s="261"/>
      <c r="BS292" s="261"/>
      <c r="BT292" s="261"/>
      <c r="BU292" s="261"/>
      <c r="BV292" s="261"/>
      <c r="BW292" s="261"/>
    </row>
    <row r="293" spans="2:75" ht="15.05" customHeight="1">
      <c r="B293" s="230"/>
      <c r="C293" s="230"/>
      <c r="D293" s="230"/>
      <c r="E293" s="230"/>
      <c r="F293" s="230"/>
      <c r="G293" s="230"/>
      <c r="H293" s="230"/>
      <c r="I293" s="230"/>
      <c r="J293" s="230"/>
      <c r="K293" s="230"/>
      <c r="L293" s="230"/>
      <c r="M293" s="230"/>
      <c r="N293" s="315"/>
      <c r="O293" s="315"/>
      <c r="P293" s="389"/>
      <c r="Q293" s="65"/>
      <c r="R293" s="206">
        <f t="shared" si="41"/>
        <v>89</v>
      </c>
      <c r="S293" s="315"/>
      <c r="T293" s="315"/>
      <c r="U293" s="315"/>
      <c r="V293" s="315"/>
      <c r="W293" s="315"/>
      <c r="X293" s="317"/>
      <c r="Y293" s="315"/>
      <c r="Z293" s="315"/>
      <c r="AA293" s="315"/>
      <c r="AB293" s="315"/>
      <c r="AC293" s="315"/>
      <c r="AD293" s="315"/>
      <c r="AE293" s="315"/>
      <c r="AF293" s="315"/>
      <c r="AG293" s="315"/>
      <c r="AH293" s="315"/>
      <c r="AI293" s="315"/>
      <c r="AJ293" s="315"/>
      <c r="AK293" s="315"/>
      <c r="AL293" s="315"/>
      <c r="AM293" s="315"/>
      <c r="AN293" s="315"/>
      <c r="AO293" s="315"/>
      <c r="AP293" s="315"/>
      <c r="AQ293" s="320"/>
      <c r="AR293" s="317"/>
      <c r="AS293" s="319"/>
      <c r="AT293" s="319"/>
      <c r="AU293" s="319"/>
      <c r="AV293" s="319"/>
      <c r="AW293" s="319"/>
      <c r="AX293" s="319"/>
      <c r="AY293" s="319"/>
      <c r="AZ293" s="319"/>
      <c r="BA293" s="319"/>
      <c r="BB293" s="319"/>
      <c r="BC293" s="319"/>
      <c r="BD293" s="319"/>
      <c r="BE293" s="319"/>
      <c r="BF293" s="319"/>
      <c r="BG293" s="319"/>
      <c r="BH293" s="319"/>
      <c r="BI293" s="261"/>
      <c r="BJ293" s="261"/>
      <c r="BK293" s="261"/>
      <c r="BL293" s="261"/>
      <c r="BM293" s="261"/>
      <c r="BN293" s="261"/>
      <c r="BO293" s="261"/>
      <c r="BP293" s="261"/>
      <c r="BQ293" s="261"/>
      <c r="BR293" s="261"/>
      <c r="BS293" s="261"/>
      <c r="BT293" s="261"/>
      <c r="BU293" s="261"/>
      <c r="BV293" s="261"/>
      <c r="BW293" s="261"/>
    </row>
    <row r="294" spans="2:75" ht="15.05" customHeight="1">
      <c r="B294" s="230"/>
      <c r="C294" s="230"/>
      <c r="D294" s="230"/>
      <c r="E294" s="230"/>
      <c r="F294" s="230"/>
      <c r="G294" s="230"/>
      <c r="H294" s="230"/>
      <c r="I294" s="230"/>
      <c r="J294" s="230"/>
      <c r="K294" s="230"/>
      <c r="L294" s="230"/>
      <c r="M294" s="230"/>
      <c r="N294" s="315"/>
      <c r="O294" s="315"/>
      <c r="P294" s="389"/>
      <c r="Q294" s="65"/>
      <c r="R294" s="206">
        <f t="shared" si="41"/>
        <v>90</v>
      </c>
      <c r="S294" s="315"/>
      <c r="T294" s="315"/>
      <c r="U294" s="315"/>
      <c r="V294" s="315"/>
      <c r="W294" s="315"/>
      <c r="X294" s="317"/>
      <c r="Y294" s="315"/>
      <c r="Z294" s="315"/>
      <c r="AA294" s="315"/>
      <c r="AB294" s="315"/>
      <c r="AC294" s="315"/>
      <c r="AD294" s="315"/>
      <c r="AE294" s="315"/>
      <c r="AF294" s="315"/>
      <c r="AG294" s="315"/>
      <c r="AH294" s="315"/>
      <c r="AI294" s="315"/>
      <c r="AJ294" s="315"/>
      <c r="AK294" s="315"/>
      <c r="AL294" s="315"/>
      <c r="AM294" s="315"/>
      <c r="AN294" s="315"/>
      <c r="AO294" s="315"/>
      <c r="AP294" s="315"/>
      <c r="AQ294" s="320"/>
      <c r="AR294" s="317"/>
      <c r="AS294" s="319"/>
      <c r="AT294" s="319"/>
      <c r="AU294" s="319"/>
      <c r="AV294" s="319"/>
      <c r="AW294" s="319"/>
      <c r="AX294" s="319"/>
      <c r="AY294" s="319"/>
      <c r="AZ294" s="319"/>
      <c r="BA294" s="319"/>
      <c r="BB294" s="319"/>
      <c r="BC294" s="319"/>
      <c r="BD294" s="319"/>
      <c r="BE294" s="319"/>
      <c r="BF294" s="319"/>
      <c r="BG294" s="319"/>
      <c r="BH294" s="319"/>
      <c r="BI294" s="261"/>
      <c r="BJ294" s="261"/>
      <c r="BK294" s="261"/>
      <c r="BL294" s="261"/>
      <c r="BM294" s="261"/>
      <c r="BN294" s="261"/>
      <c r="BO294" s="261"/>
      <c r="BP294" s="261"/>
      <c r="BQ294" s="261"/>
      <c r="BR294" s="261"/>
      <c r="BS294" s="261"/>
      <c r="BT294" s="261"/>
      <c r="BU294" s="261"/>
      <c r="BV294" s="261"/>
      <c r="BW294" s="261"/>
    </row>
    <row r="295" spans="2:75" ht="15.05" customHeight="1">
      <c r="B295" s="230"/>
      <c r="C295" s="230"/>
      <c r="D295" s="230"/>
      <c r="E295" s="230"/>
      <c r="F295" s="230"/>
      <c r="G295" s="230"/>
      <c r="H295" s="230"/>
      <c r="I295" s="230"/>
      <c r="J295" s="230"/>
      <c r="K295" s="230"/>
      <c r="L295" s="230"/>
      <c r="M295" s="230"/>
      <c r="N295" s="315"/>
      <c r="O295" s="315"/>
      <c r="P295" s="389"/>
      <c r="Q295" s="65"/>
      <c r="R295" s="206">
        <f t="shared" si="41"/>
        <v>91</v>
      </c>
      <c r="S295" s="315"/>
      <c r="T295" s="315"/>
      <c r="U295" s="315"/>
      <c r="V295" s="315"/>
      <c r="W295" s="315"/>
      <c r="X295" s="317"/>
      <c r="Y295" s="315"/>
      <c r="Z295" s="315"/>
      <c r="AA295" s="315"/>
      <c r="AB295" s="315"/>
      <c r="AC295" s="315"/>
      <c r="AD295" s="315"/>
      <c r="AE295" s="315"/>
      <c r="AF295" s="315"/>
      <c r="AG295" s="315"/>
      <c r="AH295" s="315"/>
      <c r="AI295" s="315"/>
      <c r="AJ295" s="315"/>
      <c r="AK295" s="315"/>
      <c r="AL295" s="315"/>
      <c r="AM295" s="315"/>
      <c r="AN295" s="315"/>
      <c r="AO295" s="315"/>
      <c r="AP295" s="315"/>
      <c r="AQ295" s="320"/>
      <c r="AR295" s="317"/>
      <c r="AS295" s="319"/>
      <c r="AT295" s="319"/>
      <c r="AU295" s="319"/>
      <c r="AV295" s="319"/>
      <c r="AW295" s="319"/>
      <c r="AX295" s="319"/>
      <c r="AY295" s="319"/>
      <c r="AZ295" s="319"/>
      <c r="BA295" s="319"/>
      <c r="BB295" s="319"/>
      <c r="BC295" s="319"/>
      <c r="BD295" s="319"/>
      <c r="BE295" s="319"/>
      <c r="BF295" s="319"/>
      <c r="BG295" s="319"/>
      <c r="BH295" s="319"/>
      <c r="BI295" s="261"/>
      <c r="BJ295" s="261"/>
      <c r="BK295" s="261"/>
      <c r="BL295" s="261"/>
      <c r="BM295" s="261"/>
      <c r="BN295" s="261"/>
      <c r="BO295" s="261"/>
      <c r="BP295" s="261"/>
      <c r="BQ295" s="261"/>
      <c r="BR295" s="261"/>
      <c r="BS295" s="261"/>
      <c r="BT295" s="261"/>
      <c r="BU295" s="261"/>
      <c r="BV295" s="261"/>
      <c r="BW295" s="261"/>
    </row>
    <row r="296" spans="2:75" ht="15.05" customHeight="1">
      <c r="B296" s="230"/>
      <c r="C296" s="230"/>
      <c r="D296" s="230"/>
      <c r="E296" s="230"/>
      <c r="F296" s="230"/>
      <c r="G296" s="230"/>
      <c r="H296" s="230"/>
      <c r="I296" s="230"/>
      <c r="J296" s="230"/>
      <c r="K296" s="230"/>
      <c r="L296" s="230"/>
      <c r="M296" s="230"/>
      <c r="N296" s="315"/>
      <c r="O296" s="315"/>
      <c r="P296" s="389"/>
      <c r="Q296" s="65"/>
      <c r="R296" s="206">
        <f t="shared" si="41"/>
        <v>92</v>
      </c>
      <c r="S296" s="315"/>
      <c r="T296" s="315"/>
      <c r="U296" s="315"/>
      <c r="V296" s="315"/>
      <c r="W296" s="315"/>
      <c r="X296" s="317"/>
      <c r="Y296" s="315"/>
      <c r="Z296" s="315"/>
      <c r="AA296" s="315"/>
      <c r="AB296" s="315"/>
      <c r="AC296" s="315"/>
      <c r="AD296" s="315"/>
      <c r="AE296" s="315"/>
      <c r="AF296" s="315"/>
      <c r="AG296" s="315"/>
      <c r="AH296" s="315"/>
      <c r="AI296" s="315"/>
      <c r="AJ296" s="315"/>
      <c r="AK296" s="315"/>
      <c r="AL296" s="315"/>
      <c r="AM296" s="315"/>
      <c r="AN296" s="315"/>
      <c r="AO296" s="315"/>
      <c r="AP296" s="315"/>
      <c r="AQ296" s="320"/>
      <c r="AR296" s="317"/>
      <c r="AS296" s="319"/>
      <c r="AT296" s="319"/>
      <c r="AU296" s="319"/>
      <c r="AV296" s="319"/>
      <c r="AW296" s="319"/>
      <c r="AX296" s="319"/>
      <c r="AY296" s="319"/>
      <c r="AZ296" s="319"/>
      <c r="BA296" s="319"/>
      <c r="BB296" s="319"/>
      <c r="BC296" s="319"/>
      <c r="BD296" s="319"/>
      <c r="BE296" s="319"/>
      <c r="BF296" s="319"/>
      <c r="BG296" s="319"/>
      <c r="BH296" s="319"/>
      <c r="BI296" s="261"/>
      <c r="BJ296" s="261"/>
      <c r="BK296" s="261"/>
      <c r="BL296" s="261"/>
      <c r="BM296" s="261"/>
      <c r="BN296" s="261"/>
      <c r="BO296" s="261"/>
      <c r="BP296" s="261"/>
      <c r="BQ296" s="261"/>
      <c r="BR296" s="261"/>
      <c r="BS296" s="261"/>
      <c r="BT296" s="261"/>
      <c r="BU296" s="261"/>
      <c r="BV296" s="261"/>
      <c r="BW296" s="261"/>
    </row>
    <row r="297" spans="2:75" ht="15.05" customHeight="1">
      <c r="B297" s="230"/>
      <c r="C297" s="230"/>
      <c r="D297" s="230"/>
      <c r="E297" s="230"/>
      <c r="F297" s="230"/>
      <c r="G297" s="230"/>
      <c r="H297" s="230"/>
      <c r="I297" s="230"/>
      <c r="J297" s="230"/>
      <c r="K297" s="230"/>
      <c r="L297" s="230"/>
      <c r="M297" s="230"/>
      <c r="N297" s="315"/>
      <c r="O297" s="315"/>
      <c r="P297" s="389"/>
      <c r="Q297" s="65"/>
      <c r="R297" s="206">
        <f t="shared" si="41"/>
        <v>93</v>
      </c>
      <c r="S297" s="315"/>
      <c r="T297" s="315"/>
      <c r="U297" s="315"/>
      <c r="V297" s="315"/>
      <c r="W297" s="315"/>
      <c r="X297" s="317"/>
      <c r="Y297" s="315"/>
      <c r="Z297" s="315"/>
      <c r="AA297" s="315"/>
      <c r="AB297" s="315"/>
      <c r="AC297" s="315"/>
      <c r="AD297" s="315"/>
      <c r="AE297" s="315"/>
      <c r="AF297" s="315"/>
      <c r="AG297" s="315"/>
      <c r="AH297" s="315"/>
      <c r="AI297" s="315"/>
      <c r="AJ297" s="315"/>
      <c r="AK297" s="315"/>
      <c r="AL297" s="315"/>
      <c r="AM297" s="315"/>
      <c r="AN297" s="315"/>
      <c r="AO297" s="315"/>
      <c r="AP297" s="315"/>
      <c r="AQ297" s="320"/>
      <c r="AR297" s="317"/>
      <c r="AS297" s="319"/>
      <c r="AT297" s="319"/>
      <c r="AU297" s="319"/>
      <c r="AV297" s="319"/>
      <c r="AW297" s="319"/>
      <c r="AX297" s="319"/>
      <c r="AY297" s="319"/>
      <c r="AZ297" s="319"/>
      <c r="BA297" s="319"/>
      <c r="BB297" s="319"/>
      <c r="BC297" s="319"/>
      <c r="BD297" s="319"/>
      <c r="BE297" s="319"/>
      <c r="BF297" s="319"/>
      <c r="BG297" s="319"/>
      <c r="BH297" s="319"/>
      <c r="BI297" s="261"/>
      <c r="BJ297" s="261"/>
      <c r="BK297" s="261"/>
      <c r="BL297" s="261"/>
      <c r="BM297" s="261"/>
      <c r="BN297" s="261"/>
      <c r="BO297" s="261"/>
      <c r="BP297" s="261"/>
      <c r="BQ297" s="261"/>
      <c r="BR297" s="261"/>
      <c r="BS297" s="261"/>
      <c r="BT297" s="261"/>
      <c r="BU297" s="261"/>
      <c r="BV297" s="261"/>
      <c r="BW297" s="261"/>
    </row>
    <row r="298" spans="2:75" ht="15.05" customHeight="1">
      <c r="B298" s="230"/>
      <c r="C298" s="230"/>
      <c r="D298" s="230"/>
      <c r="E298" s="230"/>
      <c r="F298" s="230"/>
      <c r="G298" s="230"/>
      <c r="H298" s="230"/>
      <c r="I298" s="230"/>
      <c r="J298" s="230"/>
      <c r="K298" s="230"/>
      <c r="L298" s="230"/>
      <c r="M298" s="230"/>
      <c r="N298" s="315"/>
      <c r="O298" s="315"/>
      <c r="P298" s="389"/>
      <c r="Q298" s="65"/>
      <c r="R298" s="206">
        <f t="shared" si="41"/>
        <v>94</v>
      </c>
      <c r="S298" s="315"/>
      <c r="T298" s="315"/>
      <c r="U298" s="315"/>
      <c r="V298" s="315"/>
      <c r="W298" s="315"/>
      <c r="X298" s="317"/>
      <c r="Y298" s="315"/>
      <c r="Z298" s="315"/>
      <c r="AA298" s="315"/>
      <c r="AB298" s="315"/>
      <c r="AC298" s="315"/>
      <c r="AD298" s="315"/>
      <c r="AE298" s="315"/>
      <c r="AF298" s="315"/>
      <c r="AG298" s="315"/>
      <c r="AH298" s="315"/>
      <c r="AI298" s="315"/>
      <c r="AJ298" s="315"/>
      <c r="AK298" s="315"/>
      <c r="AL298" s="315"/>
      <c r="AM298" s="315"/>
      <c r="AN298" s="315"/>
      <c r="AO298" s="315"/>
      <c r="AP298" s="315"/>
      <c r="AQ298" s="320"/>
      <c r="AR298" s="317"/>
      <c r="AS298" s="319"/>
      <c r="AT298" s="319"/>
      <c r="AU298" s="319"/>
      <c r="AV298" s="319"/>
      <c r="AW298" s="319"/>
      <c r="AX298" s="319"/>
      <c r="AY298" s="319"/>
      <c r="AZ298" s="319"/>
      <c r="BA298" s="319"/>
      <c r="BB298" s="319"/>
      <c r="BC298" s="319"/>
      <c r="BD298" s="319"/>
      <c r="BE298" s="319"/>
      <c r="BF298" s="319"/>
      <c r="BG298" s="319"/>
      <c r="BH298" s="319"/>
      <c r="BI298" s="261"/>
      <c r="BJ298" s="261"/>
      <c r="BK298" s="261"/>
      <c r="BL298" s="261"/>
      <c r="BM298" s="261"/>
      <c r="BN298" s="261"/>
      <c r="BO298" s="261"/>
      <c r="BP298" s="261"/>
      <c r="BQ298" s="261"/>
      <c r="BR298" s="261"/>
      <c r="BS298" s="261"/>
      <c r="BT298" s="261"/>
      <c r="BU298" s="261"/>
      <c r="BV298" s="261"/>
      <c r="BW298" s="261"/>
    </row>
    <row r="299" spans="2:75" ht="15.05" customHeight="1">
      <c r="B299" s="230"/>
      <c r="C299" s="230"/>
      <c r="D299" s="230"/>
      <c r="E299" s="230"/>
      <c r="F299" s="230"/>
      <c r="G299" s="230"/>
      <c r="H299" s="230"/>
      <c r="I299" s="230"/>
      <c r="J299" s="230"/>
      <c r="K299" s="230"/>
      <c r="L299" s="230"/>
      <c r="M299" s="230"/>
      <c r="N299" s="315"/>
      <c r="O299" s="315"/>
      <c r="P299" s="389"/>
      <c r="Q299" s="65"/>
      <c r="R299" s="206">
        <f t="shared" si="41"/>
        <v>95</v>
      </c>
      <c r="S299" s="315"/>
      <c r="T299" s="315"/>
      <c r="U299" s="315"/>
      <c r="V299" s="315"/>
      <c r="W299" s="315"/>
      <c r="X299" s="317"/>
      <c r="Y299" s="315"/>
      <c r="Z299" s="315"/>
      <c r="AA299" s="315"/>
      <c r="AB299" s="315"/>
      <c r="AC299" s="315"/>
      <c r="AD299" s="315"/>
      <c r="AE299" s="315"/>
      <c r="AF299" s="315"/>
      <c r="AG299" s="315"/>
      <c r="AH299" s="315"/>
      <c r="AI299" s="315"/>
      <c r="AJ299" s="315"/>
      <c r="AK299" s="315"/>
      <c r="AL299" s="315"/>
      <c r="AM299" s="315"/>
      <c r="AN299" s="315"/>
      <c r="AO299" s="315"/>
      <c r="AP299" s="315"/>
      <c r="AQ299" s="320"/>
      <c r="AR299" s="317"/>
      <c r="AS299" s="319"/>
      <c r="AT299" s="319"/>
      <c r="AU299" s="319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19"/>
      <c r="BI299" s="261"/>
      <c r="BJ299" s="261"/>
      <c r="BK299" s="261"/>
      <c r="BL299" s="261"/>
      <c r="BM299" s="261"/>
      <c r="BN299" s="261"/>
      <c r="BO299" s="261"/>
      <c r="BP299" s="261"/>
      <c r="BQ299" s="261"/>
      <c r="BR299" s="261"/>
      <c r="BS299" s="261"/>
      <c r="BT299" s="261"/>
      <c r="BU299" s="261"/>
      <c r="BV299" s="261"/>
      <c r="BW299" s="261"/>
    </row>
    <row r="300" spans="2:75" ht="15.05" customHeight="1">
      <c r="B300" s="230"/>
      <c r="C300" s="230"/>
      <c r="D300" s="230"/>
      <c r="E300" s="230"/>
      <c r="F300" s="230"/>
      <c r="G300" s="230"/>
      <c r="H300" s="230"/>
      <c r="I300" s="230"/>
      <c r="J300" s="230"/>
      <c r="K300" s="230"/>
      <c r="L300" s="230"/>
      <c r="M300" s="230"/>
      <c r="N300" s="315"/>
      <c r="O300" s="315"/>
      <c r="P300" s="389"/>
      <c r="Q300" s="65"/>
      <c r="R300" s="206">
        <f t="shared" si="41"/>
        <v>96</v>
      </c>
      <c r="S300" s="315"/>
      <c r="T300" s="315"/>
      <c r="U300" s="315"/>
      <c r="V300" s="315"/>
      <c r="W300" s="315"/>
      <c r="X300" s="317"/>
      <c r="Y300" s="315"/>
      <c r="Z300" s="315"/>
      <c r="AA300" s="315"/>
      <c r="AB300" s="315"/>
      <c r="AC300" s="315"/>
      <c r="AD300" s="315"/>
      <c r="AE300" s="315"/>
      <c r="AF300" s="315"/>
      <c r="AG300" s="315"/>
      <c r="AH300" s="315"/>
      <c r="AI300" s="315"/>
      <c r="AJ300" s="315"/>
      <c r="AK300" s="315"/>
      <c r="AL300" s="315"/>
      <c r="AM300" s="315"/>
      <c r="AN300" s="315"/>
      <c r="AO300" s="315"/>
      <c r="AP300" s="315"/>
      <c r="AQ300" s="320"/>
      <c r="AR300" s="317"/>
      <c r="AS300" s="319"/>
      <c r="AT300" s="319"/>
      <c r="AU300" s="319"/>
      <c r="AV300" s="319"/>
      <c r="AW300" s="319"/>
      <c r="AX300" s="319"/>
      <c r="AY300" s="319"/>
      <c r="AZ300" s="319"/>
      <c r="BA300" s="319"/>
      <c r="BB300" s="319"/>
      <c r="BC300" s="319"/>
      <c r="BD300" s="319"/>
      <c r="BE300" s="319"/>
      <c r="BF300" s="319"/>
      <c r="BG300" s="319"/>
      <c r="BH300" s="319"/>
      <c r="BI300" s="261"/>
      <c r="BJ300" s="261"/>
      <c r="BK300" s="261"/>
      <c r="BL300" s="261"/>
      <c r="BM300" s="261"/>
      <c r="BN300" s="261"/>
      <c r="BO300" s="261"/>
      <c r="BP300" s="261"/>
      <c r="BQ300" s="261"/>
      <c r="BR300" s="261"/>
      <c r="BS300" s="261"/>
      <c r="BT300" s="261"/>
      <c r="BU300" s="261"/>
      <c r="BV300" s="261"/>
      <c r="BW300" s="261"/>
    </row>
    <row r="301" spans="2:75" ht="15.05" customHeight="1">
      <c r="B301" s="230"/>
      <c r="C301" s="230"/>
      <c r="D301" s="230"/>
      <c r="E301" s="230"/>
      <c r="F301" s="230"/>
      <c r="G301" s="230"/>
      <c r="H301" s="230"/>
      <c r="I301" s="230"/>
      <c r="J301" s="230"/>
      <c r="K301" s="230"/>
      <c r="L301" s="230"/>
      <c r="M301" s="230"/>
      <c r="N301" s="315"/>
      <c r="O301" s="315"/>
      <c r="P301" s="389"/>
      <c r="Q301" s="65"/>
      <c r="R301" s="206">
        <f t="shared" si="41"/>
        <v>97</v>
      </c>
      <c r="S301" s="315"/>
      <c r="T301" s="315"/>
      <c r="U301" s="315"/>
      <c r="V301" s="315"/>
      <c r="W301" s="315"/>
      <c r="X301" s="317"/>
      <c r="Y301" s="315"/>
      <c r="Z301" s="315"/>
      <c r="AA301" s="315"/>
      <c r="AB301" s="315"/>
      <c r="AC301" s="315"/>
      <c r="AD301" s="315"/>
      <c r="AE301" s="315"/>
      <c r="AF301" s="315"/>
      <c r="AG301" s="315"/>
      <c r="AH301" s="315"/>
      <c r="AI301" s="315"/>
      <c r="AJ301" s="315"/>
      <c r="AK301" s="315"/>
      <c r="AL301" s="315"/>
      <c r="AM301" s="315"/>
      <c r="AN301" s="315"/>
      <c r="AO301" s="315"/>
      <c r="AP301" s="315"/>
      <c r="AQ301" s="320"/>
      <c r="AR301" s="317"/>
      <c r="AS301" s="319"/>
      <c r="AT301" s="319"/>
      <c r="AU301" s="319"/>
      <c r="AV301" s="319"/>
      <c r="AW301" s="319"/>
      <c r="AX301" s="319"/>
      <c r="AY301" s="319"/>
      <c r="AZ301" s="319"/>
      <c r="BA301" s="319"/>
      <c r="BB301" s="319"/>
      <c r="BC301" s="319"/>
      <c r="BD301" s="319"/>
      <c r="BE301" s="319"/>
      <c r="BF301" s="319"/>
      <c r="BG301" s="319"/>
      <c r="BH301" s="319"/>
      <c r="BI301" s="261"/>
      <c r="BJ301" s="261"/>
      <c r="BK301" s="261"/>
      <c r="BL301" s="261"/>
      <c r="BM301" s="261"/>
      <c r="BN301" s="261"/>
      <c r="BO301" s="261"/>
      <c r="BP301" s="261"/>
      <c r="BQ301" s="261"/>
      <c r="BR301" s="261"/>
      <c r="BS301" s="261"/>
      <c r="BT301" s="261"/>
      <c r="BU301" s="261"/>
      <c r="BV301" s="261"/>
      <c r="BW301" s="261"/>
    </row>
    <row r="302" spans="2:75" ht="15.05" customHeight="1">
      <c r="B302" s="230"/>
      <c r="C302" s="230"/>
      <c r="D302" s="230"/>
      <c r="E302" s="230"/>
      <c r="F302" s="230"/>
      <c r="G302" s="230"/>
      <c r="H302" s="230"/>
      <c r="I302" s="230"/>
      <c r="J302" s="230"/>
      <c r="K302" s="230"/>
      <c r="L302" s="230"/>
      <c r="M302" s="230"/>
      <c r="N302" s="315"/>
      <c r="O302" s="315"/>
      <c r="P302" s="389"/>
      <c r="Q302" s="65"/>
      <c r="R302" s="206">
        <f t="shared" si="41"/>
        <v>98</v>
      </c>
      <c r="S302" s="315"/>
      <c r="T302" s="315"/>
      <c r="U302" s="315"/>
      <c r="V302" s="315"/>
      <c r="W302" s="315"/>
      <c r="X302" s="317"/>
      <c r="Y302" s="315"/>
      <c r="Z302" s="315"/>
      <c r="AA302" s="315"/>
      <c r="AB302" s="315"/>
      <c r="AC302" s="315"/>
      <c r="AD302" s="315"/>
      <c r="AE302" s="315"/>
      <c r="AF302" s="315"/>
      <c r="AG302" s="315"/>
      <c r="AH302" s="315"/>
      <c r="AI302" s="315"/>
      <c r="AJ302" s="315"/>
      <c r="AK302" s="315"/>
      <c r="AL302" s="315"/>
      <c r="AM302" s="315"/>
      <c r="AN302" s="315"/>
      <c r="AO302" s="315"/>
      <c r="AP302" s="315"/>
      <c r="AQ302" s="320"/>
      <c r="AR302" s="317"/>
      <c r="AS302" s="319"/>
      <c r="AT302" s="319"/>
      <c r="AU302" s="319"/>
      <c r="AV302" s="319"/>
      <c r="AW302" s="319"/>
      <c r="AX302" s="319"/>
      <c r="AY302" s="319"/>
      <c r="AZ302" s="319"/>
      <c r="BA302" s="319"/>
      <c r="BB302" s="319"/>
      <c r="BC302" s="319"/>
      <c r="BD302" s="319"/>
      <c r="BE302" s="319"/>
      <c r="BF302" s="319"/>
      <c r="BG302" s="319"/>
      <c r="BH302" s="319"/>
      <c r="BI302" s="261"/>
      <c r="BJ302" s="261"/>
      <c r="BK302" s="261"/>
      <c r="BL302" s="261"/>
      <c r="BM302" s="261"/>
      <c r="BN302" s="261"/>
      <c r="BO302" s="261"/>
      <c r="BP302" s="261"/>
      <c r="BQ302" s="261"/>
      <c r="BR302" s="261"/>
      <c r="BS302" s="261"/>
      <c r="BT302" s="261"/>
      <c r="BU302" s="261"/>
      <c r="BV302" s="261"/>
      <c r="BW302" s="261"/>
    </row>
    <row r="303" spans="2:75" ht="15.05" customHeight="1">
      <c r="B303" s="230"/>
      <c r="C303" s="230"/>
      <c r="D303" s="230"/>
      <c r="E303" s="230"/>
      <c r="F303" s="230"/>
      <c r="G303" s="230"/>
      <c r="H303" s="230"/>
      <c r="I303" s="230"/>
      <c r="J303" s="230"/>
      <c r="K303" s="230"/>
      <c r="L303" s="230"/>
      <c r="M303" s="230"/>
      <c r="N303" s="315"/>
      <c r="O303" s="315"/>
      <c r="P303" s="389"/>
      <c r="Q303" s="65"/>
      <c r="R303" s="206">
        <f t="shared" si="41"/>
        <v>99</v>
      </c>
      <c r="S303" s="315"/>
      <c r="T303" s="315"/>
      <c r="U303" s="315"/>
      <c r="V303" s="315"/>
      <c r="W303" s="315"/>
      <c r="X303" s="317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15"/>
      <c r="AI303" s="315"/>
      <c r="AJ303" s="315"/>
      <c r="AK303" s="315"/>
      <c r="AL303" s="315"/>
      <c r="AM303" s="315"/>
      <c r="AN303" s="315"/>
      <c r="AO303" s="315"/>
      <c r="AP303" s="315"/>
      <c r="AQ303" s="320"/>
      <c r="AR303" s="317"/>
      <c r="AS303" s="319"/>
      <c r="AT303" s="319"/>
      <c r="AU303" s="319"/>
      <c r="AV303" s="319"/>
      <c r="AW303" s="319"/>
      <c r="AX303" s="319"/>
      <c r="AY303" s="319"/>
      <c r="AZ303" s="319"/>
      <c r="BA303" s="319"/>
      <c r="BB303" s="319"/>
      <c r="BC303" s="319"/>
      <c r="BD303" s="319"/>
      <c r="BE303" s="319"/>
      <c r="BF303" s="319"/>
      <c r="BG303" s="319"/>
      <c r="BH303" s="319"/>
      <c r="BI303" s="261"/>
      <c r="BJ303" s="261"/>
      <c r="BK303" s="261"/>
      <c r="BL303" s="261"/>
      <c r="BM303" s="261"/>
      <c r="BN303" s="261"/>
      <c r="BO303" s="261"/>
      <c r="BP303" s="261"/>
      <c r="BQ303" s="261"/>
      <c r="BR303" s="261"/>
      <c r="BS303" s="261"/>
      <c r="BT303" s="261"/>
      <c r="BU303" s="261"/>
      <c r="BV303" s="261"/>
      <c r="BW303" s="261"/>
    </row>
    <row r="304" spans="2:75" ht="15.05" customHeight="1">
      <c r="B304" s="230"/>
      <c r="C304" s="230"/>
      <c r="D304" s="230"/>
      <c r="E304" s="230"/>
      <c r="F304" s="230"/>
      <c r="G304" s="230"/>
      <c r="H304" s="230"/>
      <c r="I304" s="230"/>
      <c r="J304" s="230"/>
      <c r="K304" s="230"/>
      <c r="L304" s="230"/>
      <c r="M304" s="230"/>
      <c r="N304" s="315"/>
      <c r="O304" s="315"/>
      <c r="P304" s="389"/>
      <c r="Q304" s="65"/>
      <c r="R304" s="206">
        <f t="shared" si="41"/>
        <v>100</v>
      </c>
      <c r="S304" s="315"/>
      <c r="T304" s="315"/>
      <c r="U304" s="315"/>
      <c r="V304" s="315"/>
      <c r="W304" s="315"/>
      <c r="X304" s="317"/>
      <c r="Y304" s="315"/>
      <c r="Z304" s="315"/>
      <c r="AA304" s="315"/>
      <c r="AB304" s="315"/>
      <c r="AC304" s="315"/>
      <c r="AD304" s="315"/>
      <c r="AE304" s="315"/>
      <c r="AF304" s="315"/>
      <c r="AG304" s="315"/>
      <c r="AH304" s="315"/>
      <c r="AI304" s="315"/>
      <c r="AJ304" s="315"/>
      <c r="AK304" s="315"/>
      <c r="AL304" s="315"/>
      <c r="AM304" s="315"/>
      <c r="AN304" s="315"/>
      <c r="AO304" s="315"/>
      <c r="AP304" s="315"/>
      <c r="AQ304" s="320"/>
      <c r="AR304" s="317"/>
      <c r="AS304" s="319"/>
      <c r="AT304" s="319"/>
      <c r="AU304" s="319"/>
      <c r="AV304" s="319"/>
      <c r="AW304" s="319"/>
      <c r="AX304" s="319"/>
      <c r="AY304" s="319"/>
      <c r="AZ304" s="319"/>
      <c r="BA304" s="319"/>
      <c r="BB304" s="319"/>
      <c r="BC304" s="319"/>
      <c r="BD304" s="319"/>
      <c r="BE304" s="319"/>
      <c r="BF304" s="319"/>
      <c r="BG304" s="319"/>
      <c r="BH304" s="319"/>
      <c r="BI304" s="261"/>
      <c r="BJ304" s="261"/>
      <c r="BK304" s="261"/>
      <c r="BL304" s="261"/>
      <c r="BM304" s="261"/>
      <c r="BN304" s="261"/>
      <c r="BO304" s="261"/>
      <c r="BP304" s="261"/>
      <c r="BQ304" s="261"/>
      <c r="BR304" s="261"/>
      <c r="BS304" s="261"/>
      <c r="BT304" s="261"/>
      <c r="BU304" s="261"/>
      <c r="BV304" s="261"/>
      <c r="BW304" s="261"/>
    </row>
    <row r="305" spans="2:75" ht="15.05" customHeight="1">
      <c r="B305" s="230"/>
      <c r="C305" s="230"/>
      <c r="D305" s="230"/>
      <c r="E305" s="230"/>
      <c r="F305" s="230"/>
      <c r="G305" s="230"/>
      <c r="H305" s="230"/>
      <c r="I305" s="230"/>
      <c r="J305" s="230"/>
      <c r="K305" s="230"/>
      <c r="L305" s="230"/>
      <c r="M305" s="230"/>
      <c r="N305" s="315"/>
      <c r="O305" s="315"/>
      <c r="P305" s="315"/>
      <c r="Q305" s="315"/>
      <c r="R305" s="315"/>
      <c r="S305" s="315"/>
      <c r="T305" s="315"/>
      <c r="U305" s="315"/>
      <c r="V305" s="315"/>
      <c r="W305" s="315"/>
      <c r="X305" s="317"/>
      <c r="Y305" s="315"/>
      <c r="Z305" s="315"/>
      <c r="AA305" s="315"/>
      <c r="AB305" s="315"/>
      <c r="AC305" s="315"/>
      <c r="AD305" s="315"/>
      <c r="AE305" s="315"/>
      <c r="AF305" s="315"/>
      <c r="AG305" s="315"/>
      <c r="AH305" s="315"/>
      <c r="AI305" s="315"/>
      <c r="AJ305" s="315"/>
      <c r="AK305" s="315"/>
      <c r="AL305" s="315"/>
      <c r="AM305" s="315"/>
      <c r="AN305" s="315"/>
      <c r="AO305" s="315"/>
      <c r="AP305" s="315"/>
      <c r="AQ305" s="320"/>
      <c r="AR305" s="317"/>
      <c r="AS305" s="319"/>
      <c r="AT305" s="319"/>
      <c r="AU305" s="319"/>
      <c r="AV305" s="319"/>
      <c r="AW305" s="319"/>
      <c r="AX305" s="319"/>
      <c r="AY305" s="319"/>
      <c r="AZ305" s="319"/>
      <c r="BA305" s="319"/>
      <c r="BB305" s="319"/>
      <c r="BC305" s="319"/>
      <c r="BD305" s="319"/>
      <c r="BE305" s="319"/>
      <c r="BF305" s="319"/>
      <c r="BG305" s="319"/>
      <c r="BH305" s="319"/>
      <c r="BI305" s="261"/>
      <c r="BJ305" s="261"/>
      <c r="BK305" s="261"/>
      <c r="BL305" s="261"/>
      <c r="BM305" s="261"/>
      <c r="BN305" s="261"/>
      <c r="BO305" s="261"/>
      <c r="BP305" s="261"/>
      <c r="BQ305" s="261"/>
      <c r="BR305" s="261"/>
      <c r="BS305" s="261"/>
      <c r="BT305" s="261"/>
      <c r="BU305" s="261"/>
      <c r="BV305" s="261"/>
      <c r="BW305" s="261"/>
    </row>
    <row r="306" spans="2:75" ht="15.05" customHeight="1">
      <c r="B306" s="230"/>
      <c r="C306" s="230"/>
      <c r="D306" s="230"/>
      <c r="E306" s="230"/>
      <c r="F306" s="230"/>
      <c r="G306" s="230"/>
      <c r="H306" s="230"/>
      <c r="I306" s="230"/>
      <c r="J306" s="230"/>
      <c r="K306" s="230"/>
      <c r="L306" s="230"/>
      <c r="M306" s="230"/>
      <c r="N306" s="315"/>
      <c r="O306" s="315"/>
      <c r="P306" s="315"/>
      <c r="Q306" s="315"/>
      <c r="R306" s="315"/>
      <c r="S306" s="315"/>
      <c r="T306" s="315"/>
      <c r="U306" s="315"/>
      <c r="V306" s="315"/>
      <c r="W306" s="315"/>
      <c r="X306" s="317"/>
      <c r="Y306" s="315"/>
      <c r="Z306" s="315"/>
      <c r="AA306" s="315"/>
      <c r="AB306" s="315"/>
      <c r="AC306" s="315"/>
      <c r="AD306" s="315"/>
      <c r="AE306" s="315"/>
      <c r="AF306" s="315"/>
      <c r="AG306" s="315"/>
      <c r="AH306" s="315"/>
      <c r="AI306" s="315"/>
      <c r="AJ306" s="315"/>
      <c r="AK306" s="315"/>
      <c r="AL306" s="315"/>
      <c r="AM306" s="315"/>
      <c r="AN306" s="315"/>
      <c r="AO306" s="315"/>
      <c r="AP306" s="315"/>
      <c r="AQ306" s="320"/>
      <c r="AR306" s="317"/>
      <c r="AS306" s="319"/>
      <c r="AT306" s="319"/>
      <c r="AU306" s="319"/>
      <c r="AV306" s="319"/>
      <c r="AW306" s="319"/>
      <c r="AX306" s="319"/>
      <c r="AY306" s="319"/>
      <c r="AZ306" s="319"/>
      <c r="BA306" s="319"/>
      <c r="BB306" s="319"/>
      <c r="BC306" s="319"/>
      <c r="BD306" s="319"/>
      <c r="BE306" s="319"/>
      <c r="BF306" s="319"/>
      <c r="BG306" s="319"/>
      <c r="BH306" s="319"/>
      <c r="BI306" s="261"/>
      <c r="BJ306" s="261"/>
      <c r="BK306" s="261"/>
      <c r="BL306" s="261"/>
      <c r="BM306" s="261"/>
      <c r="BN306" s="261"/>
      <c r="BO306" s="261"/>
      <c r="BP306" s="261"/>
      <c r="BQ306" s="261"/>
      <c r="BR306" s="261"/>
      <c r="BS306" s="261"/>
      <c r="BT306" s="261"/>
      <c r="BU306" s="261"/>
      <c r="BV306" s="261"/>
      <c r="BW306" s="261"/>
    </row>
    <row r="307" spans="2:75" ht="15.05" customHeight="1">
      <c r="B307" s="230"/>
      <c r="C307" s="230"/>
      <c r="D307" s="230"/>
      <c r="E307" s="230"/>
      <c r="F307" s="230"/>
      <c r="G307" s="230"/>
      <c r="H307" s="230"/>
      <c r="I307" s="230"/>
      <c r="J307" s="230"/>
      <c r="K307" s="230"/>
      <c r="L307" s="230"/>
      <c r="M307" s="230"/>
      <c r="N307" s="315"/>
      <c r="O307" s="315"/>
      <c r="P307" s="315"/>
      <c r="Q307" s="315"/>
      <c r="R307" s="315"/>
      <c r="S307" s="315"/>
      <c r="T307" s="315"/>
      <c r="U307" s="315"/>
      <c r="V307" s="315"/>
      <c r="W307" s="315"/>
      <c r="X307" s="317"/>
      <c r="Y307" s="315"/>
      <c r="Z307" s="315"/>
      <c r="AA307" s="315"/>
      <c r="AB307" s="315"/>
      <c r="AC307" s="315"/>
      <c r="AD307" s="315"/>
      <c r="AE307" s="315"/>
      <c r="AF307" s="315"/>
      <c r="AG307" s="315"/>
      <c r="AH307" s="315"/>
      <c r="AI307" s="315"/>
      <c r="AJ307" s="315"/>
      <c r="AK307" s="315"/>
      <c r="AL307" s="315"/>
      <c r="AM307" s="315"/>
      <c r="AN307" s="315"/>
      <c r="AO307" s="315"/>
      <c r="AP307" s="315"/>
      <c r="AQ307" s="320"/>
      <c r="AR307" s="317"/>
      <c r="AS307" s="319"/>
      <c r="AT307" s="319"/>
      <c r="AU307" s="319"/>
      <c r="AV307" s="319"/>
      <c r="AW307" s="319"/>
      <c r="AX307" s="319"/>
      <c r="AY307" s="319"/>
      <c r="AZ307" s="319"/>
      <c r="BA307" s="319"/>
      <c r="BB307" s="319"/>
      <c r="BC307" s="319"/>
      <c r="BD307" s="319"/>
      <c r="BE307" s="319"/>
      <c r="BF307" s="319"/>
      <c r="BG307" s="319"/>
      <c r="BH307" s="319"/>
      <c r="BI307" s="261"/>
      <c r="BJ307" s="261"/>
      <c r="BK307" s="261"/>
      <c r="BL307" s="261"/>
      <c r="BM307" s="261"/>
      <c r="BN307" s="261"/>
      <c r="BO307" s="261"/>
      <c r="BP307" s="261"/>
      <c r="BQ307" s="261"/>
      <c r="BR307" s="261"/>
      <c r="BS307" s="261"/>
      <c r="BT307" s="261"/>
      <c r="BU307" s="261"/>
      <c r="BV307" s="261"/>
      <c r="BW307" s="261"/>
    </row>
    <row r="308" spans="2:75" ht="15.05" customHeight="1">
      <c r="B308" s="230"/>
      <c r="C308" s="230"/>
      <c r="D308" s="230"/>
      <c r="E308" s="230"/>
      <c r="F308" s="230"/>
      <c r="G308" s="230"/>
      <c r="H308" s="230"/>
      <c r="I308" s="230"/>
      <c r="J308" s="230"/>
      <c r="K308" s="230"/>
      <c r="L308" s="230"/>
      <c r="M308" s="230"/>
      <c r="N308" s="315"/>
      <c r="O308" s="315"/>
      <c r="P308" s="315"/>
      <c r="Q308" s="315"/>
      <c r="R308" s="315"/>
      <c r="S308" s="315"/>
      <c r="T308" s="315"/>
      <c r="U308" s="315"/>
      <c r="V308" s="315"/>
      <c r="W308" s="315"/>
      <c r="X308" s="317"/>
      <c r="Y308" s="315"/>
      <c r="Z308" s="315"/>
      <c r="AA308" s="315"/>
      <c r="AB308" s="315"/>
      <c r="AC308" s="315"/>
      <c r="AD308" s="315"/>
      <c r="AE308" s="315"/>
      <c r="AF308" s="315"/>
      <c r="AG308" s="315"/>
      <c r="AH308" s="315"/>
      <c r="AI308" s="315"/>
      <c r="AJ308" s="315"/>
      <c r="AK308" s="315"/>
      <c r="AL308" s="315"/>
      <c r="AM308" s="315"/>
      <c r="AN308" s="315"/>
      <c r="AO308" s="315"/>
      <c r="AP308" s="315"/>
      <c r="AQ308" s="320"/>
      <c r="AR308" s="317"/>
      <c r="AS308" s="319"/>
      <c r="AT308" s="319"/>
      <c r="AU308" s="319"/>
      <c r="AV308" s="319"/>
      <c r="AW308" s="319"/>
      <c r="AX308" s="319"/>
      <c r="AY308" s="319"/>
      <c r="AZ308" s="319"/>
      <c r="BA308" s="319"/>
      <c r="BB308" s="319"/>
      <c r="BC308" s="319"/>
      <c r="BD308" s="319"/>
      <c r="BE308" s="319"/>
      <c r="BF308" s="319"/>
      <c r="BG308" s="319"/>
      <c r="BH308" s="319"/>
      <c r="BI308" s="261"/>
      <c r="BJ308" s="261"/>
      <c r="BK308" s="261"/>
      <c r="BL308" s="261"/>
      <c r="BM308" s="261"/>
      <c r="BN308" s="261"/>
      <c r="BO308" s="261"/>
      <c r="BP308" s="261"/>
      <c r="BQ308" s="261"/>
      <c r="BR308" s="261"/>
      <c r="BS308" s="261"/>
      <c r="BT308" s="261"/>
      <c r="BU308" s="261"/>
      <c r="BV308" s="261"/>
      <c r="BW308" s="261"/>
    </row>
    <row r="309" spans="2:75" ht="15.05" customHeight="1">
      <c r="B309" s="230"/>
      <c r="C309" s="230"/>
      <c r="D309" s="230"/>
      <c r="E309" s="230"/>
      <c r="F309" s="230"/>
      <c r="G309" s="230"/>
      <c r="H309" s="230"/>
      <c r="I309" s="230"/>
      <c r="J309" s="230"/>
      <c r="K309" s="230"/>
      <c r="L309" s="230"/>
      <c r="M309" s="230"/>
      <c r="N309" s="315"/>
      <c r="O309" s="315"/>
      <c r="P309" s="315"/>
      <c r="Q309" s="315"/>
      <c r="R309" s="315"/>
      <c r="S309" s="315"/>
      <c r="T309" s="315"/>
      <c r="U309" s="315"/>
      <c r="V309" s="315"/>
      <c r="W309" s="315"/>
      <c r="X309" s="317"/>
      <c r="Y309" s="315"/>
      <c r="Z309" s="315"/>
      <c r="AA309" s="315"/>
      <c r="AB309" s="315"/>
      <c r="AC309" s="315"/>
      <c r="AD309" s="315"/>
      <c r="AE309" s="315"/>
      <c r="AF309" s="315"/>
      <c r="AG309" s="315"/>
      <c r="AH309" s="315"/>
      <c r="AI309" s="315"/>
      <c r="AJ309" s="315"/>
      <c r="AK309" s="315"/>
      <c r="AL309" s="315"/>
      <c r="AM309" s="315"/>
      <c r="AN309" s="315"/>
      <c r="AO309" s="315"/>
      <c r="AP309" s="315"/>
      <c r="AQ309" s="320"/>
      <c r="AR309" s="317"/>
      <c r="AS309" s="319"/>
      <c r="AT309" s="319"/>
      <c r="AU309" s="319"/>
      <c r="AV309" s="319"/>
      <c r="AW309" s="319"/>
      <c r="AX309" s="319"/>
      <c r="AY309" s="319"/>
      <c r="AZ309" s="319"/>
      <c r="BA309" s="319"/>
      <c r="BB309" s="319"/>
      <c r="BC309" s="319"/>
      <c r="BD309" s="319"/>
      <c r="BE309" s="319"/>
      <c r="BF309" s="319"/>
      <c r="BG309" s="319"/>
      <c r="BH309" s="319"/>
      <c r="BI309" s="261"/>
      <c r="BJ309" s="261"/>
      <c r="BK309" s="261"/>
      <c r="BL309" s="261"/>
      <c r="BM309" s="261"/>
      <c r="BN309" s="261"/>
      <c r="BO309" s="261"/>
      <c r="BP309" s="261"/>
      <c r="BQ309" s="261"/>
      <c r="BR309" s="261"/>
      <c r="BS309" s="261"/>
      <c r="BT309" s="261"/>
      <c r="BU309" s="261"/>
      <c r="BV309" s="261"/>
      <c r="BW309" s="261"/>
    </row>
    <row r="310" spans="2:75" ht="15.05" customHeight="1">
      <c r="B310" s="230"/>
      <c r="C310" s="230"/>
      <c r="D310" s="230"/>
      <c r="E310" s="230"/>
      <c r="F310" s="230"/>
      <c r="G310" s="230"/>
      <c r="H310" s="230"/>
      <c r="I310" s="230"/>
      <c r="J310" s="230"/>
      <c r="K310" s="230"/>
      <c r="L310" s="230"/>
      <c r="M310" s="230"/>
      <c r="N310" s="315"/>
      <c r="O310" s="315"/>
      <c r="P310" s="315"/>
      <c r="Q310" s="315"/>
      <c r="R310" s="315"/>
      <c r="S310" s="315"/>
      <c r="T310" s="315"/>
      <c r="U310" s="315"/>
      <c r="V310" s="315"/>
      <c r="W310" s="315"/>
      <c r="X310" s="317"/>
      <c r="Y310" s="315"/>
      <c r="Z310" s="315"/>
      <c r="AA310" s="315"/>
      <c r="AB310" s="315"/>
      <c r="AC310" s="315"/>
      <c r="AD310" s="315"/>
      <c r="AE310" s="315"/>
      <c r="AF310" s="315"/>
      <c r="AG310" s="315"/>
      <c r="AH310" s="315"/>
      <c r="AI310" s="315"/>
      <c r="AJ310" s="315"/>
      <c r="AK310" s="315"/>
      <c r="AL310" s="315"/>
      <c r="AM310" s="315"/>
      <c r="AN310" s="315"/>
      <c r="AO310" s="315"/>
      <c r="AP310" s="315"/>
      <c r="AQ310" s="320"/>
      <c r="AR310" s="317"/>
      <c r="AS310" s="319"/>
      <c r="AT310" s="319"/>
      <c r="AU310" s="319"/>
      <c r="AV310" s="319"/>
      <c r="AW310" s="319"/>
      <c r="AX310" s="319"/>
      <c r="AY310" s="319"/>
      <c r="AZ310" s="319"/>
      <c r="BA310" s="319"/>
      <c r="BB310" s="319"/>
      <c r="BC310" s="319"/>
      <c r="BD310" s="319"/>
      <c r="BE310" s="319"/>
      <c r="BF310" s="319"/>
      <c r="BG310" s="319"/>
      <c r="BH310" s="319"/>
      <c r="BI310" s="261"/>
      <c r="BJ310" s="261"/>
      <c r="BK310" s="261"/>
      <c r="BL310" s="261"/>
      <c r="BM310" s="261"/>
      <c r="BN310" s="261"/>
      <c r="BO310" s="261"/>
      <c r="BP310" s="261"/>
      <c r="BQ310" s="261"/>
      <c r="BR310" s="261"/>
      <c r="BS310" s="261"/>
      <c r="BT310" s="261"/>
      <c r="BU310" s="261"/>
      <c r="BV310" s="261"/>
      <c r="BW310" s="261"/>
    </row>
    <row r="311" spans="2:75" ht="15.05" customHeight="1">
      <c r="B311" s="230"/>
      <c r="C311" s="230"/>
      <c r="D311" s="230"/>
      <c r="E311" s="230"/>
      <c r="F311" s="230"/>
      <c r="G311" s="230"/>
      <c r="H311" s="230"/>
      <c r="I311" s="230"/>
      <c r="J311" s="230"/>
      <c r="K311" s="230"/>
      <c r="L311" s="230"/>
      <c r="M311" s="230"/>
      <c r="N311" s="315"/>
      <c r="O311" s="315"/>
      <c r="P311" s="315"/>
      <c r="Q311" s="315"/>
      <c r="R311" s="315"/>
      <c r="S311" s="315"/>
      <c r="T311" s="315"/>
      <c r="U311" s="315"/>
      <c r="V311" s="315"/>
      <c r="W311" s="315"/>
      <c r="X311" s="317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20"/>
      <c r="AR311" s="317"/>
      <c r="AS311" s="319"/>
      <c r="AT311" s="319"/>
      <c r="AU311" s="319"/>
      <c r="AV311" s="319"/>
      <c r="AW311" s="319"/>
      <c r="AX311" s="319"/>
      <c r="AY311" s="319"/>
      <c r="AZ311" s="319"/>
      <c r="BA311" s="319"/>
      <c r="BB311" s="319"/>
      <c r="BC311" s="319"/>
      <c r="BD311" s="319"/>
      <c r="BE311" s="319"/>
      <c r="BF311" s="319"/>
      <c r="BG311" s="319"/>
      <c r="BH311" s="319"/>
      <c r="BI311" s="261"/>
      <c r="BJ311" s="261"/>
      <c r="BK311" s="261"/>
      <c r="BL311" s="261"/>
      <c r="BM311" s="261"/>
      <c r="BN311" s="261"/>
      <c r="BO311" s="261"/>
      <c r="BP311" s="261"/>
      <c r="BQ311" s="261"/>
      <c r="BR311" s="261"/>
      <c r="BS311" s="261"/>
      <c r="BT311" s="261"/>
      <c r="BU311" s="261"/>
      <c r="BV311" s="261"/>
      <c r="BW311" s="261"/>
    </row>
    <row r="312" spans="2:75" ht="15.05" customHeight="1">
      <c r="B312" s="230"/>
      <c r="C312" s="230"/>
      <c r="D312" s="230"/>
      <c r="E312" s="230"/>
      <c r="F312" s="230"/>
      <c r="G312" s="230"/>
      <c r="H312" s="230"/>
      <c r="I312" s="230"/>
      <c r="J312" s="230"/>
      <c r="K312" s="230"/>
      <c r="L312" s="230"/>
      <c r="M312" s="230"/>
      <c r="N312" s="315"/>
      <c r="O312" s="315"/>
      <c r="P312" s="315"/>
      <c r="Q312" s="315"/>
      <c r="R312" s="315"/>
      <c r="S312" s="315"/>
      <c r="T312" s="315"/>
      <c r="U312" s="315"/>
      <c r="V312" s="315"/>
      <c r="W312" s="315"/>
      <c r="X312" s="317"/>
      <c r="Y312" s="315"/>
      <c r="Z312" s="315"/>
      <c r="AA312" s="315"/>
      <c r="AB312" s="315"/>
      <c r="AC312" s="315"/>
      <c r="AD312" s="315"/>
      <c r="AE312" s="315"/>
      <c r="AF312" s="315"/>
      <c r="AG312" s="315"/>
      <c r="AH312" s="315"/>
      <c r="AI312" s="315"/>
      <c r="AJ312" s="315"/>
      <c r="AK312" s="315"/>
      <c r="AL312" s="315"/>
      <c r="AM312" s="315"/>
      <c r="AN312" s="315"/>
      <c r="AO312" s="315"/>
      <c r="AP312" s="315"/>
      <c r="AQ312" s="320"/>
      <c r="AR312" s="317"/>
      <c r="AS312" s="319"/>
      <c r="AT312" s="319"/>
      <c r="AU312" s="319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19"/>
      <c r="BI312" s="261"/>
      <c r="BJ312" s="261"/>
      <c r="BK312" s="261"/>
      <c r="BL312" s="261"/>
      <c r="BM312" s="261"/>
      <c r="BN312" s="261"/>
      <c r="BO312" s="261"/>
      <c r="BP312" s="261"/>
      <c r="BQ312" s="261"/>
      <c r="BR312" s="261"/>
      <c r="BS312" s="261"/>
      <c r="BT312" s="261"/>
      <c r="BU312" s="261"/>
      <c r="BV312" s="261"/>
      <c r="BW312" s="261"/>
    </row>
    <row r="313" spans="2:75" ht="15.05" customHeight="1">
      <c r="B313" s="230"/>
      <c r="C313" s="230"/>
      <c r="D313" s="230"/>
      <c r="E313" s="230"/>
      <c r="F313" s="230"/>
      <c r="G313" s="230"/>
      <c r="H313" s="230"/>
      <c r="I313" s="230"/>
      <c r="J313" s="230"/>
      <c r="K313" s="230"/>
      <c r="L313" s="230"/>
      <c r="M313" s="230"/>
      <c r="N313" s="315"/>
      <c r="O313" s="315"/>
      <c r="P313" s="315"/>
      <c r="Q313" s="315"/>
      <c r="R313" s="315"/>
      <c r="S313" s="315"/>
      <c r="T313" s="315"/>
      <c r="U313" s="315"/>
      <c r="V313" s="315"/>
      <c r="W313" s="315"/>
      <c r="X313" s="317"/>
      <c r="Y313" s="315"/>
      <c r="Z313" s="315"/>
      <c r="AA313" s="315"/>
      <c r="AB313" s="315"/>
      <c r="AC313" s="315"/>
      <c r="AD313" s="315"/>
      <c r="AE313" s="315"/>
      <c r="AF313" s="315"/>
      <c r="AG313" s="315"/>
      <c r="AH313" s="315"/>
      <c r="AI313" s="315"/>
      <c r="AJ313" s="315"/>
      <c r="AK313" s="315"/>
      <c r="AL313" s="315"/>
      <c r="AM313" s="315"/>
      <c r="AN313" s="315"/>
      <c r="AO313" s="315"/>
      <c r="AP313" s="315"/>
      <c r="AQ313" s="320"/>
      <c r="AR313" s="317"/>
      <c r="AS313" s="319"/>
      <c r="AT313" s="319"/>
      <c r="AU313" s="319"/>
      <c r="AV313" s="319"/>
      <c r="AW313" s="319"/>
      <c r="AX313" s="319"/>
      <c r="AY313" s="319"/>
      <c r="AZ313" s="319"/>
      <c r="BA313" s="319"/>
      <c r="BB313" s="319"/>
      <c r="BC313" s="319"/>
      <c r="BD313" s="319"/>
      <c r="BE313" s="319"/>
      <c r="BF313" s="319"/>
      <c r="BG313" s="319"/>
      <c r="BH313" s="319"/>
      <c r="BI313" s="261"/>
      <c r="BJ313" s="261"/>
      <c r="BK313" s="261"/>
      <c r="BL313" s="261"/>
      <c r="BM313" s="261"/>
      <c r="BN313" s="261"/>
      <c r="BO313" s="261"/>
      <c r="BP313" s="261"/>
      <c r="BQ313" s="261"/>
      <c r="BR313" s="261"/>
      <c r="BS313" s="261"/>
      <c r="BT313" s="261"/>
      <c r="BU313" s="261"/>
      <c r="BV313" s="261"/>
      <c r="BW313" s="261"/>
    </row>
    <row r="314" spans="2:75" ht="15.05" customHeight="1">
      <c r="B314" s="230"/>
      <c r="C314" s="230"/>
      <c r="D314" s="230"/>
      <c r="E314" s="230"/>
      <c r="F314" s="230"/>
      <c r="G314" s="230"/>
      <c r="H314" s="230"/>
      <c r="I314" s="230"/>
      <c r="J314" s="230"/>
      <c r="K314" s="230"/>
      <c r="L314" s="230"/>
      <c r="M314" s="230"/>
      <c r="N314" s="315"/>
      <c r="O314" s="315"/>
      <c r="P314" s="315"/>
      <c r="Q314" s="315"/>
      <c r="R314" s="315"/>
      <c r="S314" s="315"/>
      <c r="T314" s="315"/>
      <c r="U314" s="315"/>
      <c r="V314" s="315"/>
      <c r="W314" s="315"/>
      <c r="X314" s="317"/>
      <c r="Y314" s="315"/>
      <c r="Z314" s="315"/>
      <c r="AA314" s="315"/>
      <c r="AB314" s="315"/>
      <c r="AC314" s="315"/>
      <c r="AD314" s="315"/>
      <c r="AE314" s="315"/>
      <c r="AF314" s="315"/>
      <c r="AG314" s="315"/>
      <c r="AH314" s="315"/>
      <c r="AI314" s="315"/>
      <c r="AJ314" s="315"/>
      <c r="AK314" s="315"/>
      <c r="AL314" s="315"/>
      <c r="AM314" s="315"/>
      <c r="AN314" s="315"/>
      <c r="AO314" s="315"/>
      <c r="AP314" s="315"/>
      <c r="AQ314" s="320"/>
      <c r="AR314" s="317"/>
      <c r="AS314" s="319"/>
      <c r="AT314" s="319"/>
      <c r="AU314" s="319"/>
      <c r="AV314" s="319"/>
      <c r="AW314" s="319"/>
      <c r="AX314" s="319"/>
      <c r="AY314" s="319"/>
      <c r="AZ314" s="319"/>
      <c r="BA314" s="319"/>
      <c r="BB314" s="319"/>
      <c r="BC314" s="319"/>
      <c r="BD314" s="319"/>
      <c r="BE314" s="319"/>
      <c r="BF314" s="319"/>
      <c r="BG314" s="319"/>
      <c r="BH314" s="319"/>
      <c r="BI314" s="261"/>
      <c r="BJ314" s="261"/>
      <c r="BK314" s="261"/>
      <c r="BL314" s="261"/>
      <c r="BM314" s="261"/>
      <c r="BN314" s="261"/>
      <c r="BO314" s="261"/>
      <c r="BP314" s="261"/>
      <c r="BQ314" s="261"/>
      <c r="BR314" s="261"/>
      <c r="BS314" s="261"/>
      <c r="BT314" s="261"/>
      <c r="BU314" s="261"/>
      <c r="BV314" s="261"/>
      <c r="BW314" s="261"/>
    </row>
    <row r="315" spans="2:75" ht="15.05" customHeight="1">
      <c r="B315" s="230"/>
      <c r="C315" s="230"/>
      <c r="D315" s="230"/>
      <c r="E315" s="230"/>
      <c r="F315" s="230"/>
      <c r="G315" s="230"/>
      <c r="H315" s="230"/>
      <c r="I315" s="230"/>
      <c r="J315" s="230"/>
      <c r="K315" s="230"/>
      <c r="L315" s="230"/>
      <c r="M315" s="230"/>
      <c r="N315" s="315"/>
      <c r="O315" s="315"/>
      <c r="P315" s="315"/>
      <c r="Q315" s="315"/>
      <c r="R315" s="315"/>
      <c r="S315" s="315"/>
      <c r="T315" s="315"/>
      <c r="U315" s="315"/>
      <c r="V315" s="315"/>
      <c r="W315" s="315"/>
      <c r="X315" s="317"/>
      <c r="Y315" s="315"/>
      <c r="Z315" s="315"/>
      <c r="AA315" s="315"/>
      <c r="AB315" s="315"/>
      <c r="AC315" s="315"/>
      <c r="AD315" s="315"/>
      <c r="AE315" s="315"/>
      <c r="AF315" s="315"/>
      <c r="AG315" s="315"/>
      <c r="AH315" s="315"/>
      <c r="AI315" s="315"/>
      <c r="AJ315" s="315"/>
      <c r="AK315" s="315"/>
      <c r="AL315" s="315"/>
      <c r="AM315" s="315"/>
      <c r="AN315" s="315"/>
      <c r="AO315" s="315"/>
      <c r="AP315" s="315"/>
      <c r="AQ315" s="320"/>
      <c r="AR315" s="317"/>
      <c r="AS315" s="319"/>
      <c r="AT315" s="319"/>
      <c r="AU315" s="319"/>
      <c r="AV315" s="319"/>
      <c r="AW315" s="319"/>
      <c r="AX315" s="319"/>
      <c r="AY315" s="319"/>
      <c r="AZ315" s="319"/>
      <c r="BA315" s="319"/>
      <c r="BB315" s="319"/>
      <c r="BC315" s="319"/>
      <c r="BD315" s="319"/>
      <c r="BE315" s="319"/>
      <c r="BF315" s="319"/>
      <c r="BG315" s="319"/>
      <c r="BH315" s="319"/>
      <c r="BI315" s="261"/>
      <c r="BJ315" s="261"/>
      <c r="BK315" s="261"/>
      <c r="BL315" s="261"/>
      <c r="BM315" s="261"/>
      <c r="BN315" s="261"/>
      <c r="BO315" s="261"/>
      <c r="BP315" s="261"/>
      <c r="BQ315" s="261"/>
      <c r="BR315" s="261"/>
      <c r="BS315" s="261"/>
      <c r="BT315" s="261"/>
      <c r="BU315" s="261"/>
      <c r="BV315" s="261"/>
      <c r="BW315" s="261"/>
    </row>
    <row r="316" spans="2:75" ht="15.05" customHeight="1">
      <c r="B316" s="230"/>
      <c r="C316" s="230"/>
      <c r="D316" s="230"/>
      <c r="E316" s="230"/>
      <c r="F316" s="230"/>
      <c r="G316" s="230"/>
      <c r="H316" s="230"/>
      <c r="I316" s="230"/>
      <c r="J316" s="230"/>
      <c r="K316" s="230"/>
      <c r="L316" s="230"/>
      <c r="M316" s="230"/>
      <c r="N316" s="315"/>
      <c r="O316" s="315"/>
      <c r="P316" s="315"/>
      <c r="Q316" s="315"/>
      <c r="R316" s="315"/>
      <c r="S316" s="315"/>
      <c r="T316" s="315"/>
      <c r="U316" s="315"/>
      <c r="V316" s="315"/>
      <c r="W316" s="315"/>
      <c r="X316" s="317"/>
      <c r="Y316" s="315"/>
      <c r="Z316" s="315"/>
      <c r="AA316" s="315"/>
      <c r="AB316" s="315"/>
      <c r="AC316" s="315"/>
      <c r="AD316" s="315"/>
      <c r="AE316" s="315"/>
      <c r="AF316" s="315"/>
      <c r="AG316" s="315"/>
      <c r="AH316" s="315"/>
      <c r="AI316" s="315"/>
      <c r="AJ316" s="315"/>
      <c r="AK316" s="315"/>
      <c r="AL316" s="315"/>
      <c r="AM316" s="315"/>
      <c r="AN316" s="315"/>
      <c r="AO316" s="315"/>
      <c r="AP316" s="315"/>
      <c r="AQ316" s="320"/>
      <c r="AR316" s="317"/>
      <c r="AS316" s="319"/>
      <c r="AT316" s="319"/>
      <c r="AU316" s="319"/>
      <c r="AV316" s="319"/>
      <c r="AW316" s="319"/>
      <c r="AX316" s="319"/>
      <c r="AY316" s="319"/>
      <c r="AZ316" s="319"/>
      <c r="BA316" s="319"/>
      <c r="BB316" s="319"/>
      <c r="BC316" s="319"/>
      <c r="BD316" s="319"/>
      <c r="BE316" s="319"/>
      <c r="BF316" s="319"/>
      <c r="BG316" s="319"/>
      <c r="BH316" s="319"/>
      <c r="BI316" s="261"/>
      <c r="BJ316" s="261"/>
      <c r="BK316" s="261"/>
      <c r="BL316" s="261"/>
      <c r="BM316" s="261"/>
      <c r="BN316" s="261"/>
      <c r="BO316" s="261"/>
      <c r="BP316" s="261"/>
      <c r="BQ316" s="261"/>
      <c r="BR316" s="261"/>
      <c r="BS316" s="261"/>
      <c r="BT316" s="261"/>
      <c r="BU316" s="261"/>
      <c r="BV316" s="261"/>
      <c r="BW316" s="261"/>
    </row>
    <row r="317" spans="2:75" ht="15.05" customHeight="1">
      <c r="B317" s="230"/>
      <c r="C317" s="230"/>
      <c r="D317" s="230"/>
      <c r="E317" s="230"/>
      <c r="F317" s="230"/>
      <c r="G317" s="230"/>
      <c r="H317" s="230"/>
      <c r="I317" s="230"/>
      <c r="J317" s="230"/>
      <c r="K317" s="230"/>
      <c r="L317" s="230"/>
      <c r="M317" s="230"/>
      <c r="N317" s="315"/>
      <c r="O317" s="315"/>
      <c r="P317" s="315"/>
      <c r="Q317" s="315"/>
      <c r="R317" s="315"/>
      <c r="S317" s="315"/>
      <c r="T317" s="315"/>
      <c r="U317" s="315"/>
      <c r="V317" s="315"/>
      <c r="W317" s="315"/>
      <c r="X317" s="317"/>
      <c r="Y317" s="315"/>
      <c r="Z317" s="315"/>
      <c r="AA317" s="315"/>
      <c r="AB317" s="315"/>
      <c r="AC317" s="315"/>
      <c r="AD317" s="315"/>
      <c r="AE317" s="315"/>
      <c r="AF317" s="315"/>
      <c r="AG317" s="315"/>
      <c r="AH317" s="315"/>
      <c r="AI317" s="315"/>
      <c r="AJ317" s="315"/>
      <c r="AK317" s="315"/>
      <c r="AL317" s="315"/>
      <c r="AM317" s="315"/>
      <c r="AN317" s="315"/>
      <c r="AO317" s="315"/>
      <c r="AP317" s="315"/>
      <c r="AQ317" s="320"/>
      <c r="AR317" s="317"/>
      <c r="AS317" s="319"/>
      <c r="AT317" s="319"/>
      <c r="AU317" s="319"/>
      <c r="AV317" s="319"/>
      <c r="AW317" s="319"/>
      <c r="AX317" s="319"/>
      <c r="AY317" s="319"/>
      <c r="AZ317" s="319"/>
      <c r="BA317" s="319"/>
      <c r="BB317" s="319"/>
      <c r="BC317" s="319"/>
      <c r="BD317" s="319"/>
      <c r="BE317" s="319"/>
      <c r="BF317" s="319"/>
      <c r="BG317" s="319"/>
      <c r="BH317" s="319"/>
      <c r="BI317" s="261"/>
      <c r="BJ317" s="261"/>
      <c r="BK317" s="261"/>
      <c r="BL317" s="261"/>
      <c r="BM317" s="261"/>
      <c r="BN317" s="261"/>
      <c r="BO317" s="261"/>
      <c r="BP317" s="261"/>
      <c r="BQ317" s="261"/>
      <c r="BR317" s="261"/>
      <c r="BS317" s="261"/>
      <c r="BT317" s="261"/>
      <c r="BU317" s="261"/>
      <c r="BV317" s="261"/>
      <c r="BW317" s="261"/>
    </row>
    <row r="318" spans="2:75" ht="15.05" customHeight="1">
      <c r="B318" s="230"/>
      <c r="C318" s="230"/>
      <c r="D318" s="230"/>
      <c r="E318" s="230"/>
      <c r="F318" s="230"/>
      <c r="G318" s="230"/>
      <c r="H318" s="230"/>
      <c r="I318" s="230"/>
      <c r="J318" s="230"/>
      <c r="K318" s="230"/>
      <c r="L318" s="230"/>
      <c r="M318" s="230"/>
      <c r="N318" s="315"/>
      <c r="O318" s="315"/>
      <c r="P318" s="315"/>
      <c r="Q318" s="315"/>
      <c r="R318" s="315"/>
      <c r="S318" s="315"/>
      <c r="T318" s="315"/>
      <c r="U318" s="315"/>
      <c r="V318" s="315"/>
      <c r="W318" s="315"/>
      <c r="X318" s="317"/>
      <c r="Y318" s="315"/>
      <c r="Z318" s="315"/>
      <c r="AA318" s="315"/>
      <c r="AB318" s="315"/>
      <c r="AC318" s="315"/>
      <c r="AD318" s="315"/>
      <c r="AE318" s="315"/>
      <c r="AF318" s="315"/>
      <c r="AG318" s="315"/>
      <c r="AH318" s="315"/>
      <c r="AI318" s="315"/>
      <c r="AJ318" s="315"/>
      <c r="AK318" s="315"/>
      <c r="AL318" s="315"/>
      <c r="AM318" s="315"/>
      <c r="AN318" s="315"/>
      <c r="AO318" s="315"/>
      <c r="AP318" s="315"/>
      <c r="AQ318" s="320"/>
      <c r="AR318" s="317"/>
      <c r="AS318" s="319"/>
      <c r="AT318" s="319"/>
      <c r="AU318" s="319"/>
      <c r="AV318" s="319"/>
      <c r="AW318" s="319"/>
      <c r="AX318" s="319"/>
      <c r="AY318" s="319"/>
      <c r="AZ318" s="319"/>
      <c r="BA318" s="319"/>
      <c r="BB318" s="319"/>
      <c r="BC318" s="319"/>
      <c r="BD318" s="319"/>
      <c r="BE318" s="319"/>
      <c r="BF318" s="319"/>
      <c r="BG318" s="319"/>
      <c r="BH318" s="319"/>
      <c r="BI318" s="261"/>
      <c r="BJ318" s="261"/>
      <c r="BK318" s="261"/>
      <c r="BL318" s="261"/>
      <c r="BM318" s="261"/>
      <c r="BN318" s="261"/>
      <c r="BO318" s="261"/>
      <c r="BP318" s="261"/>
      <c r="BQ318" s="261"/>
      <c r="BR318" s="261"/>
      <c r="BS318" s="261"/>
      <c r="BT318" s="261"/>
      <c r="BU318" s="261"/>
      <c r="BV318" s="261"/>
      <c r="BW318" s="261"/>
    </row>
    <row r="319" spans="2:75" ht="15.05" customHeight="1">
      <c r="B319" s="230"/>
      <c r="C319" s="230"/>
      <c r="D319" s="230"/>
      <c r="E319" s="230"/>
      <c r="F319" s="230"/>
      <c r="G319" s="230"/>
      <c r="H319" s="230"/>
      <c r="I319" s="230"/>
      <c r="J319" s="230"/>
      <c r="K319" s="230"/>
      <c r="L319" s="230"/>
      <c r="M319" s="230"/>
      <c r="N319" s="315"/>
      <c r="O319" s="315"/>
      <c r="P319" s="315"/>
      <c r="Q319" s="315"/>
      <c r="R319" s="315"/>
      <c r="S319" s="315"/>
      <c r="T319" s="315"/>
      <c r="U319" s="315"/>
      <c r="V319" s="315"/>
      <c r="W319" s="315"/>
      <c r="X319" s="317"/>
      <c r="Y319" s="315"/>
      <c r="Z319" s="315"/>
      <c r="AA319" s="315"/>
      <c r="AB319" s="315"/>
      <c r="AC319" s="315"/>
      <c r="AD319" s="315"/>
      <c r="AE319" s="315"/>
      <c r="AF319" s="315"/>
      <c r="AG319" s="315"/>
      <c r="AH319" s="315"/>
      <c r="AI319" s="315"/>
      <c r="AJ319" s="315"/>
      <c r="AK319" s="315"/>
      <c r="AL319" s="315"/>
      <c r="AM319" s="315"/>
      <c r="AN319" s="315"/>
      <c r="AO319" s="315"/>
      <c r="AP319" s="315"/>
      <c r="AQ319" s="320"/>
      <c r="AR319" s="317"/>
      <c r="AS319" s="319"/>
      <c r="AT319" s="319"/>
      <c r="AU319" s="319"/>
      <c r="AV319" s="319"/>
      <c r="AW319" s="319"/>
      <c r="AX319" s="319"/>
      <c r="AY319" s="319"/>
      <c r="AZ319" s="319"/>
      <c r="BA319" s="319"/>
      <c r="BB319" s="319"/>
      <c r="BC319" s="319"/>
      <c r="BD319" s="319"/>
      <c r="BE319" s="319"/>
      <c r="BF319" s="319"/>
      <c r="BG319" s="319"/>
      <c r="BH319" s="319"/>
      <c r="BI319" s="261"/>
      <c r="BJ319" s="261"/>
      <c r="BK319" s="261"/>
      <c r="BL319" s="261"/>
      <c r="BM319" s="261"/>
      <c r="BN319" s="261"/>
      <c r="BO319" s="261"/>
      <c r="BP319" s="261"/>
      <c r="BQ319" s="261"/>
      <c r="BR319" s="261"/>
      <c r="BS319" s="261"/>
      <c r="BT319" s="261"/>
      <c r="BU319" s="261"/>
      <c r="BV319" s="261"/>
      <c r="BW319" s="261"/>
    </row>
    <row r="320" spans="2:75" ht="15.05" customHeight="1">
      <c r="B320" s="230"/>
      <c r="C320" s="230"/>
      <c r="D320" s="230"/>
      <c r="E320" s="230"/>
      <c r="F320" s="230"/>
      <c r="G320" s="230"/>
      <c r="H320" s="230"/>
      <c r="I320" s="230"/>
      <c r="J320" s="230"/>
      <c r="K320" s="230"/>
      <c r="L320" s="230"/>
      <c r="M320" s="230"/>
      <c r="N320" s="315"/>
      <c r="O320" s="315"/>
      <c r="P320" s="315"/>
      <c r="Q320" s="315"/>
      <c r="R320" s="315"/>
      <c r="S320" s="315"/>
      <c r="T320" s="315"/>
      <c r="U320" s="315"/>
      <c r="V320" s="315"/>
      <c r="W320" s="315"/>
      <c r="X320" s="317"/>
      <c r="Y320" s="315"/>
      <c r="Z320" s="315"/>
      <c r="AA320" s="315"/>
      <c r="AB320" s="315"/>
      <c r="AC320" s="315"/>
      <c r="AD320" s="315"/>
      <c r="AE320" s="315"/>
      <c r="AF320" s="315"/>
      <c r="AG320" s="315"/>
      <c r="AH320" s="315"/>
      <c r="AI320" s="315"/>
      <c r="AJ320" s="315"/>
      <c r="AK320" s="315"/>
      <c r="AL320" s="315"/>
      <c r="AM320" s="315"/>
      <c r="AN320" s="315"/>
      <c r="AO320" s="315"/>
      <c r="AP320" s="315"/>
      <c r="AQ320" s="320"/>
      <c r="AR320" s="317"/>
      <c r="AS320" s="319"/>
      <c r="AT320" s="319"/>
      <c r="AU320" s="319"/>
      <c r="AV320" s="319"/>
      <c r="AW320" s="319"/>
      <c r="AX320" s="319"/>
      <c r="AY320" s="319"/>
      <c r="AZ320" s="319"/>
      <c r="BA320" s="319"/>
      <c r="BB320" s="319"/>
      <c r="BC320" s="319"/>
      <c r="BD320" s="319"/>
      <c r="BE320" s="319"/>
      <c r="BF320" s="319"/>
      <c r="BG320" s="319"/>
      <c r="BH320" s="319"/>
      <c r="BI320" s="261"/>
      <c r="BJ320" s="261"/>
      <c r="BK320" s="261"/>
      <c r="BL320" s="261"/>
      <c r="BM320" s="261"/>
      <c r="BN320" s="261"/>
      <c r="BO320" s="261"/>
      <c r="BP320" s="261"/>
      <c r="BQ320" s="261"/>
      <c r="BR320" s="261"/>
      <c r="BS320" s="261"/>
      <c r="BT320" s="261"/>
      <c r="BU320" s="261"/>
      <c r="BV320" s="261"/>
      <c r="BW320" s="261"/>
    </row>
    <row r="321" spans="2:75" ht="15.05" customHeight="1">
      <c r="B321" s="230"/>
      <c r="C321" s="230"/>
      <c r="D321" s="230"/>
      <c r="E321" s="230"/>
      <c r="F321" s="230"/>
      <c r="G321" s="230"/>
      <c r="H321" s="230"/>
      <c r="I321" s="230"/>
      <c r="J321" s="230"/>
      <c r="K321" s="230"/>
      <c r="L321" s="230"/>
      <c r="M321" s="230"/>
      <c r="N321" s="315"/>
      <c r="O321" s="315"/>
      <c r="P321" s="315"/>
      <c r="Q321" s="315"/>
      <c r="R321" s="315"/>
      <c r="S321" s="315"/>
      <c r="T321" s="315"/>
      <c r="U321" s="315"/>
      <c r="V321" s="315"/>
      <c r="W321" s="315"/>
      <c r="X321" s="317"/>
      <c r="Y321" s="315"/>
      <c r="Z321" s="315"/>
      <c r="AA321" s="315"/>
      <c r="AB321" s="315"/>
      <c r="AC321" s="315"/>
      <c r="AD321" s="315"/>
      <c r="AE321" s="315"/>
      <c r="AF321" s="315"/>
      <c r="AG321" s="315"/>
      <c r="AH321" s="315"/>
      <c r="AI321" s="315"/>
      <c r="AJ321" s="315"/>
      <c r="AK321" s="315"/>
      <c r="AL321" s="315"/>
      <c r="AM321" s="315"/>
      <c r="AN321" s="315"/>
      <c r="AO321" s="315"/>
      <c r="AP321" s="315"/>
      <c r="AQ321" s="320"/>
      <c r="AR321" s="317"/>
      <c r="AS321" s="319"/>
      <c r="AT321" s="319"/>
      <c r="AU321" s="319"/>
      <c r="AV321" s="319"/>
      <c r="AW321" s="319"/>
      <c r="AX321" s="319"/>
      <c r="AY321" s="319"/>
      <c r="AZ321" s="319"/>
      <c r="BA321" s="319"/>
      <c r="BB321" s="319"/>
      <c r="BC321" s="319"/>
      <c r="BD321" s="319"/>
      <c r="BE321" s="319"/>
      <c r="BF321" s="319"/>
      <c r="BG321" s="319"/>
      <c r="BH321" s="319"/>
      <c r="BI321" s="261"/>
      <c r="BJ321" s="261"/>
      <c r="BK321" s="261"/>
      <c r="BL321" s="261"/>
      <c r="BM321" s="261"/>
      <c r="BN321" s="261"/>
      <c r="BO321" s="261"/>
      <c r="BP321" s="261"/>
      <c r="BQ321" s="261"/>
      <c r="BR321" s="261"/>
      <c r="BS321" s="261"/>
      <c r="BT321" s="261"/>
      <c r="BU321" s="261"/>
      <c r="BV321" s="261"/>
      <c r="BW321" s="261"/>
    </row>
    <row r="322" spans="2:75" ht="15.05" customHeight="1">
      <c r="B322" s="230"/>
      <c r="C322" s="230"/>
      <c r="D322" s="230"/>
      <c r="E322" s="230"/>
      <c r="F322" s="230"/>
      <c r="G322" s="230"/>
      <c r="H322" s="230"/>
      <c r="I322" s="230"/>
      <c r="J322" s="230"/>
      <c r="K322" s="230"/>
      <c r="L322" s="230"/>
      <c r="M322" s="230"/>
      <c r="N322" s="315"/>
      <c r="O322" s="315"/>
      <c r="P322" s="315"/>
      <c r="Q322" s="315"/>
      <c r="R322" s="315"/>
      <c r="S322" s="315"/>
      <c r="T322" s="315"/>
      <c r="U322" s="315"/>
      <c r="V322" s="315"/>
      <c r="W322" s="315"/>
      <c r="X322" s="317"/>
      <c r="Y322" s="315"/>
      <c r="Z322" s="315"/>
      <c r="AA322" s="315"/>
      <c r="AB322" s="315"/>
      <c r="AC322" s="315"/>
      <c r="AD322" s="315"/>
      <c r="AE322" s="315"/>
      <c r="AF322" s="315"/>
      <c r="AG322" s="315"/>
      <c r="AH322" s="315"/>
      <c r="AI322" s="315"/>
      <c r="AJ322" s="315"/>
      <c r="AK322" s="315"/>
      <c r="AL322" s="315"/>
      <c r="AM322" s="315"/>
      <c r="AN322" s="315"/>
      <c r="AO322" s="315"/>
      <c r="AP322" s="315"/>
      <c r="AQ322" s="320"/>
      <c r="AR322" s="317"/>
      <c r="AS322" s="319"/>
      <c r="AT322" s="319"/>
      <c r="AU322" s="319"/>
      <c r="AV322" s="319"/>
      <c r="AW322" s="319"/>
      <c r="AX322" s="319"/>
      <c r="AY322" s="319"/>
      <c r="AZ322" s="319"/>
      <c r="BA322" s="319"/>
      <c r="BB322" s="319"/>
      <c r="BC322" s="319"/>
      <c r="BD322" s="319"/>
      <c r="BE322" s="319"/>
      <c r="BF322" s="319"/>
      <c r="BG322" s="319"/>
      <c r="BH322" s="319"/>
      <c r="BI322" s="261"/>
      <c r="BJ322" s="261"/>
      <c r="BK322" s="261"/>
      <c r="BL322" s="261"/>
      <c r="BM322" s="261"/>
      <c r="BN322" s="261"/>
      <c r="BO322" s="261"/>
      <c r="BP322" s="261"/>
      <c r="BQ322" s="261"/>
      <c r="BR322" s="261"/>
      <c r="BS322" s="261"/>
      <c r="BT322" s="261"/>
      <c r="BU322" s="261"/>
      <c r="BV322" s="261"/>
      <c r="BW322" s="261"/>
    </row>
    <row r="323" spans="2:75" ht="15.05" customHeight="1">
      <c r="B323" s="230"/>
      <c r="C323" s="230"/>
      <c r="D323" s="230"/>
      <c r="E323" s="230"/>
      <c r="F323" s="230"/>
      <c r="G323" s="230"/>
      <c r="H323" s="230"/>
      <c r="I323" s="230"/>
      <c r="J323" s="230"/>
      <c r="K323" s="230"/>
      <c r="L323" s="230"/>
      <c r="M323" s="230"/>
      <c r="N323" s="315"/>
      <c r="O323" s="315"/>
      <c r="P323" s="315"/>
      <c r="Q323" s="315"/>
      <c r="R323" s="315"/>
      <c r="S323" s="315"/>
      <c r="T323" s="315"/>
      <c r="U323" s="315"/>
      <c r="V323" s="315"/>
      <c r="W323" s="315"/>
      <c r="X323" s="317"/>
      <c r="Y323" s="315"/>
      <c r="Z323" s="315"/>
      <c r="AA323" s="315"/>
      <c r="AB323" s="315"/>
      <c r="AC323" s="315"/>
      <c r="AD323" s="315"/>
      <c r="AE323" s="315"/>
      <c r="AF323" s="315"/>
      <c r="AG323" s="315"/>
      <c r="AH323" s="315"/>
      <c r="AI323" s="315"/>
      <c r="AJ323" s="315"/>
      <c r="AK323" s="315"/>
      <c r="AL323" s="315"/>
      <c r="AM323" s="315"/>
      <c r="AN323" s="315"/>
      <c r="AO323" s="315"/>
      <c r="AP323" s="315"/>
      <c r="AQ323" s="320"/>
      <c r="AR323" s="317"/>
      <c r="AS323" s="319"/>
      <c r="AT323" s="319"/>
      <c r="AU323" s="319"/>
      <c r="AV323" s="319"/>
      <c r="AW323" s="319"/>
      <c r="AX323" s="319"/>
      <c r="AY323" s="319"/>
      <c r="AZ323" s="319"/>
      <c r="BA323" s="319"/>
      <c r="BB323" s="319"/>
      <c r="BC323" s="319"/>
      <c r="BD323" s="319"/>
      <c r="BE323" s="319"/>
      <c r="BF323" s="319"/>
      <c r="BG323" s="319"/>
      <c r="BH323" s="319"/>
      <c r="BI323" s="261"/>
      <c r="BJ323" s="261"/>
      <c r="BK323" s="261"/>
      <c r="BL323" s="261"/>
      <c r="BM323" s="261"/>
      <c r="BN323" s="261"/>
      <c r="BO323" s="261"/>
      <c r="BP323" s="261"/>
      <c r="BQ323" s="261"/>
      <c r="BR323" s="261"/>
      <c r="BS323" s="261"/>
      <c r="BT323" s="261"/>
      <c r="BU323" s="261"/>
      <c r="BV323" s="261"/>
      <c r="BW323" s="261"/>
    </row>
    <row r="324" spans="2:75" ht="15.05" customHeight="1">
      <c r="B324" s="230"/>
      <c r="C324" s="230"/>
      <c r="D324" s="230"/>
      <c r="E324" s="230"/>
      <c r="F324" s="230"/>
      <c r="G324" s="230"/>
      <c r="H324" s="230"/>
      <c r="I324" s="230"/>
      <c r="J324" s="230"/>
      <c r="K324" s="230"/>
      <c r="L324" s="230"/>
      <c r="M324" s="230"/>
      <c r="N324" s="315"/>
      <c r="O324" s="315"/>
      <c r="P324" s="315"/>
      <c r="Q324" s="315"/>
      <c r="R324" s="315"/>
      <c r="S324" s="315"/>
      <c r="T324" s="315"/>
      <c r="U324" s="315"/>
      <c r="V324" s="315"/>
      <c r="W324" s="315"/>
      <c r="X324" s="317"/>
      <c r="Y324" s="315"/>
      <c r="Z324" s="315"/>
      <c r="AA324" s="315"/>
      <c r="AB324" s="315"/>
      <c r="AC324" s="315"/>
      <c r="AD324" s="315"/>
      <c r="AE324" s="315"/>
      <c r="AF324" s="315"/>
      <c r="AG324" s="315"/>
      <c r="AH324" s="315"/>
      <c r="AI324" s="315"/>
      <c r="AJ324" s="315"/>
      <c r="AK324" s="315"/>
      <c r="AL324" s="315"/>
      <c r="AM324" s="315"/>
      <c r="AN324" s="315"/>
      <c r="AO324" s="315"/>
      <c r="AP324" s="315"/>
      <c r="AQ324" s="320"/>
      <c r="AR324" s="317"/>
      <c r="AS324" s="319"/>
      <c r="AT324" s="319"/>
      <c r="AU324" s="319"/>
      <c r="AV324" s="319"/>
      <c r="AW324" s="319"/>
      <c r="AX324" s="319"/>
      <c r="AY324" s="319"/>
      <c r="AZ324" s="319"/>
      <c r="BA324" s="319"/>
      <c r="BB324" s="319"/>
      <c r="BC324" s="319"/>
      <c r="BD324" s="319"/>
      <c r="BE324" s="319"/>
      <c r="BF324" s="319"/>
      <c r="BG324" s="319"/>
      <c r="BH324" s="319"/>
      <c r="BI324" s="261"/>
      <c r="BJ324" s="261"/>
      <c r="BK324" s="261"/>
      <c r="BL324" s="261"/>
      <c r="BM324" s="261"/>
      <c r="BN324" s="261"/>
      <c r="BO324" s="261"/>
      <c r="BP324" s="261"/>
      <c r="BQ324" s="261"/>
      <c r="BR324" s="261"/>
      <c r="BS324" s="261"/>
      <c r="BT324" s="261"/>
      <c r="BU324" s="261"/>
      <c r="BV324" s="261"/>
      <c r="BW324" s="261"/>
    </row>
    <row r="325" spans="2:75" ht="15.05" customHeight="1">
      <c r="B325" s="230"/>
      <c r="C325" s="230"/>
      <c r="D325" s="230"/>
      <c r="E325" s="230"/>
      <c r="F325" s="230"/>
      <c r="G325" s="230"/>
      <c r="H325" s="230"/>
      <c r="I325" s="230"/>
      <c r="J325" s="230"/>
      <c r="K325" s="230"/>
      <c r="L325" s="230"/>
      <c r="M325" s="230"/>
      <c r="N325" s="315"/>
      <c r="O325" s="315"/>
      <c r="P325" s="315"/>
      <c r="Q325" s="315"/>
      <c r="R325" s="315"/>
      <c r="S325" s="315"/>
      <c r="T325" s="315"/>
      <c r="U325" s="315"/>
      <c r="V325" s="315"/>
      <c r="W325" s="315"/>
      <c r="X325" s="317"/>
      <c r="Y325" s="315"/>
      <c r="Z325" s="315"/>
      <c r="AA325" s="315"/>
      <c r="AB325" s="315"/>
      <c r="AC325" s="315"/>
      <c r="AD325" s="315"/>
      <c r="AE325" s="315"/>
      <c r="AF325" s="315"/>
      <c r="AG325" s="315"/>
      <c r="AH325" s="315"/>
      <c r="AI325" s="315"/>
      <c r="AJ325" s="315"/>
      <c r="AK325" s="315"/>
      <c r="AL325" s="315"/>
      <c r="AM325" s="315"/>
      <c r="AN325" s="315"/>
      <c r="AO325" s="315"/>
      <c r="AP325" s="315"/>
      <c r="AQ325" s="320"/>
      <c r="AR325" s="317"/>
      <c r="AS325" s="319"/>
      <c r="AT325" s="319"/>
      <c r="AU325" s="319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19"/>
      <c r="BI325" s="261"/>
      <c r="BJ325" s="261"/>
      <c r="BK325" s="261"/>
      <c r="BL325" s="261"/>
      <c r="BM325" s="261"/>
      <c r="BN325" s="261"/>
      <c r="BO325" s="261"/>
      <c r="BP325" s="261"/>
      <c r="BQ325" s="261"/>
      <c r="BR325" s="261"/>
      <c r="BS325" s="261"/>
      <c r="BT325" s="261"/>
      <c r="BU325" s="261"/>
      <c r="BV325" s="261"/>
      <c r="BW325" s="261"/>
    </row>
    <row r="326" spans="2:75" ht="15.05" customHeight="1">
      <c r="B326" s="230"/>
      <c r="C326" s="230"/>
      <c r="D326" s="230"/>
      <c r="E326" s="230"/>
      <c r="F326" s="230"/>
      <c r="G326" s="230"/>
      <c r="H326" s="230"/>
      <c r="I326" s="230"/>
      <c r="J326" s="230"/>
      <c r="K326" s="230"/>
      <c r="L326" s="230"/>
      <c r="M326" s="230"/>
      <c r="N326" s="315"/>
      <c r="O326" s="315"/>
      <c r="P326" s="315"/>
      <c r="Q326" s="315"/>
      <c r="R326" s="315"/>
      <c r="S326" s="315"/>
      <c r="T326" s="315"/>
      <c r="U326" s="315"/>
      <c r="V326" s="315"/>
      <c r="W326" s="315"/>
      <c r="X326" s="317"/>
      <c r="Y326" s="315"/>
      <c r="Z326" s="315"/>
      <c r="AA326" s="315"/>
      <c r="AB326" s="315"/>
      <c r="AC326" s="315"/>
      <c r="AD326" s="315"/>
      <c r="AE326" s="315"/>
      <c r="AF326" s="315"/>
      <c r="AG326" s="315"/>
      <c r="AH326" s="315"/>
      <c r="AI326" s="315"/>
      <c r="AJ326" s="315"/>
      <c r="AK326" s="315"/>
      <c r="AL326" s="315"/>
      <c r="AM326" s="315"/>
      <c r="AN326" s="315"/>
      <c r="AO326" s="315"/>
      <c r="AP326" s="315"/>
      <c r="AQ326" s="320"/>
      <c r="AR326" s="317"/>
      <c r="AS326" s="319"/>
      <c r="AT326" s="319"/>
      <c r="AU326" s="319"/>
      <c r="AV326" s="319"/>
      <c r="AW326" s="319"/>
      <c r="AX326" s="319"/>
      <c r="AY326" s="319"/>
      <c r="AZ326" s="319"/>
      <c r="BA326" s="319"/>
      <c r="BB326" s="319"/>
      <c r="BC326" s="319"/>
      <c r="BD326" s="319"/>
      <c r="BE326" s="319"/>
      <c r="BF326" s="319"/>
      <c r="BG326" s="319"/>
      <c r="BH326" s="319"/>
      <c r="BI326" s="261"/>
      <c r="BJ326" s="261"/>
      <c r="BK326" s="261"/>
      <c r="BL326" s="261"/>
      <c r="BM326" s="261"/>
      <c r="BN326" s="261"/>
      <c r="BO326" s="261"/>
      <c r="BP326" s="261"/>
      <c r="BQ326" s="261"/>
      <c r="BR326" s="261"/>
      <c r="BS326" s="261"/>
      <c r="BT326" s="261"/>
      <c r="BU326" s="261"/>
      <c r="BV326" s="261"/>
      <c r="BW326" s="261"/>
    </row>
    <row r="327" spans="2:75" ht="15.05" customHeight="1">
      <c r="B327" s="230"/>
      <c r="C327" s="230"/>
      <c r="D327" s="230"/>
      <c r="E327" s="230"/>
      <c r="F327" s="230"/>
      <c r="G327" s="230"/>
      <c r="H327" s="230"/>
      <c r="I327" s="230"/>
      <c r="J327" s="230"/>
      <c r="K327" s="230"/>
      <c r="L327" s="230"/>
      <c r="M327" s="230"/>
      <c r="N327" s="315"/>
      <c r="O327" s="315"/>
      <c r="P327" s="315"/>
      <c r="Q327" s="315"/>
      <c r="R327" s="315"/>
      <c r="S327" s="315"/>
      <c r="T327" s="315"/>
      <c r="U327" s="315"/>
      <c r="V327" s="315"/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5"/>
      <c r="AH327" s="315"/>
      <c r="AI327" s="315"/>
      <c r="AJ327" s="315"/>
      <c r="AK327" s="315"/>
      <c r="AL327" s="315"/>
      <c r="AM327" s="315"/>
      <c r="AN327" s="315"/>
      <c r="AO327" s="315"/>
      <c r="AP327" s="315"/>
      <c r="AQ327" s="320"/>
      <c r="AR327" s="317"/>
      <c r="AS327" s="319"/>
      <c r="AT327" s="319"/>
      <c r="AU327" s="319"/>
      <c r="AV327" s="319"/>
      <c r="AW327" s="319"/>
      <c r="AX327" s="319"/>
      <c r="AY327" s="319"/>
      <c r="AZ327" s="319"/>
      <c r="BA327" s="319"/>
      <c r="BB327" s="319"/>
      <c r="BC327" s="319"/>
      <c r="BD327" s="319"/>
      <c r="BE327" s="319"/>
      <c r="BF327" s="319"/>
      <c r="BG327" s="319"/>
      <c r="BH327" s="319"/>
      <c r="BI327" s="261"/>
      <c r="BJ327" s="261"/>
      <c r="BK327" s="261"/>
      <c r="BL327" s="261"/>
      <c r="BM327" s="261"/>
      <c r="BN327" s="261"/>
      <c r="BO327" s="261"/>
      <c r="BP327" s="261"/>
      <c r="BQ327" s="261"/>
      <c r="BR327" s="261"/>
      <c r="BS327" s="261"/>
      <c r="BT327" s="261"/>
      <c r="BU327" s="261"/>
      <c r="BV327" s="261"/>
      <c r="BW327" s="261"/>
    </row>
    <row r="328" spans="2:75" ht="15.05" customHeight="1">
      <c r="B328" s="230"/>
      <c r="C328" s="230"/>
      <c r="D328" s="230"/>
      <c r="E328" s="230"/>
      <c r="F328" s="230"/>
      <c r="G328" s="230"/>
      <c r="H328" s="230"/>
      <c r="I328" s="230"/>
      <c r="J328" s="230"/>
      <c r="K328" s="230"/>
      <c r="L328" s="230"/>
      <c r="M328" s="230"/>
      <c r="N328" s="315"/>
      <c r="O328" s="315"/>
      <c r="P328" s="315"/>
      <c r="Q328" s="315"/>
      <c r="R328" s="315"/>
      <c r="S328" s="315"/>
      <c r="T328" s="315"/>
      <c r="U328" s="315"/>
      <c r="V328" s="315"/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5"/>
      <c r="AH328" s="315"/>
      <c r="AI328" s="315"/>
      <c r="AJ328" s="315"/>
      <c r="AK328" s="315"/>
      <c r="AL328" s="315"/>
      <c r="AM328" s="315"/>
      <c r="AN328" s="315"/>
      <c r="AO328" s="315"/>
      <c r="AP328" s="315"/>
      <c r="AQ328" s="320"/>
      <c r="AR328" s="317"/>
      <c r="AS328" s="319"/>
      <c r="AT328" s="319"/>
      <c r="AU328" s="319"/>
      <c r="AV328" s="319"/>
      <c r="AW328" s="319"/>
      <c r="AX328" s="319"/>
      <c r="AY328" s="319"/>
      <c r="AZ328" s="319"/>
      <c r="BA328" s="319"/>
      <c r="BB328" s="319"/>
      <c r="BC328" s="319"/>
      <c r="BD328" s="319"/>
      <c r="BE328" s="319"/>
      <c r="BF328" s="319"/>
      <c r="BG328" s="319"/>
      <c r="BH328" s="319"/>
      <c r="BI328" s="261"/>
      <c r="BJ328" s="261"/>
      <c r="BK328" s="261"/>
      <c r="BL328" s="261"/>
      <c r="BM328" s="261"/>
      <c r="BN328" s="261"/>
      <c r="BO328" s="261"/>
      <c r="BP328" s="261"/>
      <c r="BQ328" s="261"/>
      <c r="BR328" s="261"/>
      <c r="BS328" s="261"/>
      <c r="BT328" s="261"/>
      <c r="BU328" s="261"/>
      <c r="BV328" s="261"/>
      <c r="BW328" s="261"/>
    </row>
    <row r="329" spans="2:75" ht="15.05" customHeight="1">
      <c r="B329" s="230"/>
      <c r="C329" s="230"/>
      <c r="D329" s="230"/>
      <c r="E329" s="230"/>
      <c r="F329" s="230"/>
      <c r="G329" s="230"/>
      <c r="H329" s="230"/>
      <c r="I329" s="230"/>
      <c r="J329" s="230"/>
      <c r="K329" s="230"/>
      <c r="L329" s="230"/>
      <c r="M329" s="230"/>
      <c r="N329" s="315"/>
      <c r="O329" s="315"/>
      <c r="P329" s="315"/>
      <c r="Q329" s="315"/>
      <c r="R329" s="315"/>
      <c r="S329" s="315"/>
      <c r="T329" s="315"/>
      <c r="U329" s="315"/>
      <c r="V329" s="315"/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5"/>
      <c r="AH329" s="315"/>
      <c r="AI329" s="315"/>
      <c r="AJ329" s="315"/>
      <c r="AK329" s="315"/>
      <c r="AL329" s="315"/>
      <c r="AM329" s="315"/>
      <c r="AN329" s="315"/>
      <c r="AO329" s="315"/>
      <c r="AP329" s="315"/>
      <c r="AQ329" s="320"/>
      <c r="AR329" s="317"/>
      <c r="AS329" s="319"/>
      <c r="AT329" s="319"/>
      <c r="AU329" s="319"/>
      <c r="AV329" s="319"/>
      <c r="AW329" s="319"/>
      <c r="AX329" s="319"/>
      <c r="AY329" s="319"/>
      <c r="AZ329" s="319"/>
      <c r="BA329" s="319"/>
      <c r="BB329" s="319"/>
      <c r="BC329" s="319"/>
      <c r="BD329" s="319"/>
      <c r="BE329" s="319"/>
      <c r="BF329" s="319"/>
      <c r="BG329" s="319"/>
      <c r="BH329" s="319"/>
      <c r="BI329" s="261"/>
      <c r="BJ329" s="261"/>
      <c r="BK329" s="261"/>
      <c r="BL329" s="261"/>
      <c r="BM329" s="261"/>
      <c r="BN329" s="261"/>
      <c r="BO329" s="261"/>
      <c r="BP329" s="261"/>
      <c r="BQ329" s="261"/>
      <c r="BR329" s="261"/>
      <c r="BS329" s="261"/>
      <c r="BT329" s="261"/>
      <c r="BU329" s="261"/>
      <c r="BV329" s="261"/>
      <c r="BW329" s="261"/>
    </row>
    <row r="330" spans="2:75">
      <c r="B330" s="230"/>
      <c r="C330" s="230"/>
      <c r="D330" s="230"/>
      <c r="E330" s="230"/>
      <c r="F330" s="230"/>
      <c r="G330" s="230"/>
      <c r="H330" s="230"/>
      <c r="I330" s="230"/>
      <c r="J330" s="230"/>
      <c r="K330" s="230"/>
      <c r="L330" s="230"/>
      <c r="M330" s="230"/>
      <c r="N330" s="315"/>
      <c r="O330" s="315"/>
      <c r="P330" s="315"/>
      <c r="Q330" s="315"/>
      <c r="R330" s="315"/>
      <c r="S330" s="315"/>
      <c r="T330" s="315"/>
      <c r="U330" s="315"/>
      <c r="V330" s="315"/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5"/>
      <c r="AH330" s="315"/>
      <c r="AI330" s="315"/>
      <c r="AJ330" s="315"/>
      <c r="AK330" s="315"/>
      <c r="AL330" s="315"/>
      <c r="AM330" s="315"/>
      <c r="AN330" s="315"/>
      <c r="AO330" s="315"/>
      <c r="AP330" s="315"/>
      <c r="AQ330" s="320"/>
      <c r="AR330" s="317"/>
      <c r="AS330" s="319"/>
      <c r="AT330" s="319"/>
      <c r="AU330" s="319"/>
      <c r="AV330" s="319"/>
      <c r="AW330" s="319"/>
      <c r="AX330" s="319"/>
      <c r="AY330" s="319"/>
      <c r="AZ330" s="319"/>
      <c r="BA330" s="319"/>
      <c r="BB330" s="319"/>
      <c r="BC330" s="319"/>
      <c r="BD330" s="319"/>
      <c r="BE330" s="319"/>
      <c r="BF330" s="319"/>
      <c r="BG330" s="319"/>
      <c r="BH330" s="319"/>
      <c r="BI330" s="261"/>
      <c r="BJ330" s="261"/>
      <c r="BK330" s="261"/>
      <c r="BL330" s="261"/>
      <c r="BM330" s="261"/>
      <c r="BN330" s="261"/>
      <c r="BO330" s="261"/>
      <c r="BP330" s="261"/>
      <c r="BQ330" s="261"/>
      <c r="BR330" s="261"/>
      <c r="BS330" s="261"/>
      <c r="BT330" s="261"/>
      <c r="BU330" s="261"/>
      <c r="BV330" s="261"/>
      <c r="BW330" s="261"/>
    </row>
    <row r="331" spans="2:75">
      <c r="B331" s="230"/>
      <c r="C331" s="230"/>
      <c r="D331" s="230"/>
      <c r="E331" s="230"/>
      <c r="F331" s="230"/>
      <c r="G331" s="230"/>
      <c r="H331" s="230"/>
      <c r="I331" s="230"/>
      <c r="J331" s="230"/>
      <c r="K331" s="230"/>
      <c r="L331" s="230"/>
      <c r="M331" s="230"/>
      <c r="N331" s="315"/>
      <c r="O331" s="315"/>
      <c r="P331" s="315"/>
      <c r="Q331" s="315"/>
      <c r="R331" s="315"/>
      <c r="S331" s="315"/>
      <c r="T331" s="315"/>
      <c r="U331" s="315"/>
      <c r="V331" s="315"/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5"/>
      <c r="AH331" s="315"/>
      <c r="AI331" s="315"/>
      <c r="AJ331" s="315"/>
      <c r="AK331" s="315"/>
      <c r="AL331" s="315"/>
      <c r="AM331" s="315"/>
      <c r="AN331" s="315"/>
      <c r="AO331" s="315"/>
      <c r="AP331" s="315"/>
      <c r="AQ331" s="320"/>
      <c r="AR331" s="317"/>
      <c r="AS331" s="319"/>
      <c r="AT331" s="319"/>
      <c r="AU331" s="319"/>
      <c r="AV331" s="319"/>
      <c r="AW331" s="319"/>
      <c r="AX331" s="319"/>
      <c r="AY331" s="319"/>
      <c r="AZ331" s="319"/>
      <c r="BA331" s="319"/>
      <c r="BB331" s="319"/>
      <c r="BC331" s="319"/>
      <c r="BD331" s="319"/>
      <c r="BE331" s="319"/>
      <c r="BF331" s="319"/>
      <c r="BG331" s="319"/>
      <c r="BH331" s="319"/>
      <c r="BI331" s="261"/>
      <c r="BJ331" s="261"/>
      <c r="BK331" s="261"/>
      <c r="BL331" s="261"/>
      <c r="BM331" s="261"/>
      <c r="BN331" s="261"/>
      <c r="BO331" s="261"/>
      <c r="BP331" s="261"/>
      <c r="BQ331" s="261"/>
      <c r="BR331" s="261"/>
      <c r="BS331" s="261"/>
      <c r="BT331" s="261"/>
      <c r="BU331" s="261"/>
      <c r="BV331" s="261"/>
      <c r="BW331" s="261"/>
    </row>
    <row r="332" spans="2:75">
      <c r="B332" s="230"/>
      <c r="C332" s="230"/>
      <c r="D332" s="230"/>
      <c r="E332" s="230"/>
      <c r="F332" s="230"/>
      <c r="G332" s="230"/>
      <c r="H332" s="230"/>
      <c r="I332" s="230"/>
      <c r="J332" s="230"/>
      <c r="K332" s="230"/>
      <c r="L332" s="230"/>
      <c r="M332" s="230"/>
      <c r="N332" s="315"/>
      <c r="O332" s="315"/>
      <c r="P332" s="315"/>
      <c r="Q332" s="315"/>
      <c r="R332" s="315"/>
      <c r="S332" s="315"/>
      <c r="T332" s="315"/>
      <c r="U332" s="315"/>
      <c r="V332" s="315"/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5"/>
      <c r="AH332" s="315"/>
      <c r="AI332" s="315"/>
      <c r="AJ332" s="315"/>
      <c r="AK332" s="315"/>
      <c r="AL332" s="315"/>
      <c r="AM332" s="315"/>
      <c r="AN332" s="315"/>
      <c r="AO332" s="315"/>
      <c r="AP332" s="315"/>
      <c r="AQ332" s="320"/>
      <c r="AR332" s="317"/>
      <c r="AS332" s="319"/>
      <c r="AT332" s="319"/>
      <c r="AU332" s="319"/>
      <c r="AV332" s="319"/>
      <c r="AW332" s="319"/>
      <c r="AX332" s="319"/>
      <c r="AY332" s="319"/>
      <c r="AZ332" s="319"/>
      <c r="BA332" s="319"/>
      <c r="BB332" s="319"/>
      <c r="BC332" s="319"/>
      <c r="BD332" s="319"/>
      <c r="BE332" s="319"/>
      <c r="BF332" s="319"/>
      <c r="BG332" s="319"/>
      <c r="BH332" s="319"/>
      <c r="BI332" s="261"/>
      <c r="BJ332" s="261"/>
      <c r="BK332" s="261"/>
      <c r="BL332" s="261"/>
      <c r="BM332" s="261"/>
      <c r="BN332" s="261"/>
      <c r="BO332" s="261"/>
      <c r="BP332" s="261"/>
      <c r="BQ332" s="261"/>
      <c r="BR332" s="261"/>
      <c r="BS332" s="261"/>
      <c r="BT332" s="261"/>
      <c r="BU332" s="261"/>
      <c r="BV332" s="261"/>
      <c r="BW332" s="261"/>
    </row>
    <row r="333" spans="2:75">
      <c r="B333" s="230"/>
      <c r="C333" s="230"/>
      <c r="D333" s="230"/>
      <c r="E333" s="230"/>
      <c r="F333" s="230"/>
      <c r="G333" s="230"/>
      <c r="H333" s="230"/>
      <c r="I333" s="230"/>
      <c r="J333" s="230"/>
      <c r="K333" s="230"/>
      <c r="L333" s="230"/>
      <c r="M333" s="230"/>
      <c r="N333" s="315"/>
      <c r="O333" s="315"/>
      <c r="P333" s="315"/>
      <c r="Q333" s="315"/>
      <c r="R333" s="315"/>
      <c r="S333" s="315"/>
      <c r="T333" s="315"/>
      <c r="U333" s="315"/>
      <c r="V333" s="315"/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5"/>
      <c r="AH333" s="315"/>
      <c r="AI333" s="315"/>
      <c r="AJ333" s="315"/>
      <c r="AK333" s="315"/>
      <c r="AL333" s="315"/>
      <c r="AM333" s="315"/>
      <c r="AN333" s="315"/>
      <c r="AO333" s="315"/>
      <c r="AP333" s="315"/>
      <c r="AQ333" s="320"/>
      <c r="AR333" s="317"/>
      <c r="AS333" s="319"/>
      <c r="AT333" s="319"/>
      <c r="AU333" s="319"/>
      <c r="AV333" s="319"/>
      <c r="AW333" s="319"/>
      <c r="AX333" s="319"/>
      <c r="AY333" s="319"/>
      <c r="AZ333" s="319"/>
      <c r="BA333" s="319"/>
      <c r="BB333" s="319"/>
      <c r="BC333" s="319"/>
      <c r="BD333" s="319"/>
      <c r="BE333" s="319"/>
      <c r="BF333" s="319"/>
      <c r="BG333" s="319"/>
      <c r="BH333" s="319"/>
      <c r="BI333" s="261"/>
      <c r="BJ333" s="261"/>
      <c r="BK333" s="261"/>
      <c r="BL333" s="261"/>
      <c r="BM333" s="261"/>
      <c r="BN333" s="261"/>
      <c r="BO333" s="261"/>
      <c r="BP333" s="261"/>
      <c r="BQ333" s="261"/>
      <c r="BR333" s="261"/>
      <c r="BS333" s="261"/>
      <c r="BT333" s="261"/>
      <c r="BU333" s="261"/>
      <c r="BV333" s="261"/>
      <c r="BW333" s="261"/>
    </row>
    <row r="334" spans="2:75">
      <c r="B334" s="230"/>
      <c r="C334" s="230"/>
      <c r="D334" s="230"/>
      <c r="E334" s="230"/>
      <c r="F334" s="230"/>
      <c r="G334" s="230"/>
      <c r="H334" s="230"/>
      <c r="I334" s="230"/>
      <c r="J334" s="230"/>
      <c r="K334" s="230"/>
      <c r="L334" s="230"/>
      <c r="M334" s="230"/>
      <c r="N334" s="315"/>
      <c r="O334" s="315"/>
      <c r="P334" s="315"/>
      <c r="Q334" s="315"/>
      <c r="R334" s="315"/>
      <c r="S334" s="315"/>
      <c r="T334" s="315"/>
      <c r="U334" s="315"/>
      <c r="V334" s="315"/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5"/>
      <c r="AH334" s="315"/>
      <c r="AI334" s="315"/>
      <c r="AJ334" s="315"/>
      <c r="AK334" s="315"/>
      <c r="AL334" s="315"/>
      <c r="AM334" s="315"/>
      <c r="AN334" s="315"/>
      <c r="AO334" s="315"/>
      <c r="AP334" s="315"/>
      <c r="AQ334" s="320"/>
      <c r="AR334" s="317"/>
      <c r="AS334" s="319"/>
      <c r="AT334" s="319"/>
      <c r="AU334" s="319"/>
      <c r="AV334" s="319"/>
      <c r="AW334" s="319"/>
      <c r="AX334" s="319"/>
      <c r="AY334" s="319"/>
      <c r="AZ334" s="319"/>
      <c r="BA334" s="319"/>
      <c r="BB334" s="319"/>
      <c r="BC334" s="319"/>
      <c r="BD334" s="319"/>
      <c r="BE334" s="319"/>
      <c r="BF334" s="319"/>
      <c r="BG334" s="319"/>
      <c r="BH334" s="319"/>
      <c r="BI334" s="261"/>
      <c r="BJ334" s="261"/>
      <c r="BK334" s="261"/>
      <c r="BL334" s="261"/>
      <c r="BM334" s="261"/>
      <c r="BN334" s="261"/>
      <c r="BO334" s="261"/>
      <c r="BP334" s="261"/>
      <c r="BQ334" s="261"/>
      <c r="BR334" s="261"/>
      <c r="BS334" s="261"/>
      <c r="BT334" s="261"/>
      <c r="BU334" s="261"/>
      <c r="BV334" s="261"/>
      <c r="BW334" s="261"/>
    </row>
    <row r="335" spans="2:75">
      <c r="B335" s="230"/>
      <c r="C335" s="230"/>
      <c r="D335" s="230"/>
      <c r="E335" s="230"/>
      <c r="F335" s="230"/>
      <c r="G335" s="230"/>
      <c r="H335" s="230"/>
      <c r="I335" s="230"/>
      <c r="J335" s="230"/>
      <c r="K335" s="230"/>
      <c r="L335" s="230"/>
      <c r="M335" s="230"/>
      <c r="N335" s="315"/>
      <c r="O335" s="315"/>
      <c r="P335" s="315"/>
      <c r="Q335" s="315"/>
      <c r="R335" s="315"/>
      <c r="S335" s="315"/>
      <c r="T335" s="315"/>
      <c r="U335" s="315"/>
      <c r="V335" s="315"/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5"/>
      <c r="AH335" s="315"/>
      <c r="AI335" s="315"/>
      <c r="AJ335" s="315"/>
      <c r="AK335" s="315"/>
      <c r="AL335" s="315"/>
      <c r="AM335" s="315"/>
      <c r="AN335" s="315"/>
      <c r="AO335" s="315"/>
      <c r="AP335" s="315"/>
      <c r="AQ335" s="320"/>
      <c r="AR335" s="317"/>
      <c r="AS335" s="319"/>
      <c r="AT335" s="319"/>
      <c r="AU335" s="319"/>
      <c r="AV335" s="319"/>
      <c r="AW335" s="319"/>
      <c r="AX335" s="319"/>
      <c r="AY335" s="319"/>
      <c r="AZ335" s="319"/>
      <c r="BA335" s="319"/>
      <c r="BB335" s="319"/>
      <c r="BC335" s="319"/>
      <c r="BD335" s="319"/>
      <c r="BE335" s="319"/>
      <c r="BF335" s="319"/>
      <c r="BG335" s="319"/>
      <c r="BH335" s="319"/>
      <c r="BI335" s="261"/>
      <c r="BJ335" s="261"/>
      <c r="BK335" s="261"/>
      <c r="BL335" s="261"/>
      <c r="BM335" s="261"/>
      <c r="BN335" s="261"/>
      <c r="BO335" s="261"/>
      <c r="BP335" s="261"/>
      <c r="BQ335" s="261"/>
      <c r="BR335" s="261"/>
      <c r="BS335" s="261"/>
      <c r="BT335" s="261"/>
      <c r="BU335" s="261"/>
      <c r="BV335" s="261"/>
      <c r="BW335" s="261"/>
    </row>
    <row r="336" spans="2:75">
      <c r="B336" s="230"/>
      <c r="C336" s="230"/>
      <c r="D336" s="230"/>
      <c r="E336" s="230"/>
      <c r="F336" s="230"/>
      <c r="G336" s="230"/>
      <c r="H336" s="230"/>
      <c r="I336" s="230"/>
      <c r="J336" s="230"/>
      <c r="K336" s="230"/>
      <c r="L336" s="230"/>
      <c r="M336" s="230"/>
      <c r="N336" s="315"/>
      <c r="O336" s="315"/>
      <c r="P336" s="315"/>
      <c r="Q336" s="315"/>
      <c r="R336" s="315"/>
      <c r="S336" s="315"/>
      <c r="T336" s="315"/>
      <c r="U336" s="315"/>
      <c r="V336" s="315"/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5"/>
      <c r="AH336" s="315"/>
      <c r="AI336" s="315"/>
      <c r="AJ336" s="315"/>
      <c r="AK336" s="315"/>
      <c r="AL336" s="315"/>
      <c r="AM336" s="315"/>
      <c r="AN336" s="315"/>
      <c r="AO336" s="315"/>
      <c r="AP336" s="315"/>
      <c r="AQ336" s="320"/>
      <c r="AR336" s="317"/>
      <c r="AS336" s="319"/>
      <c r="AT336" s="319"/>
      <c r="AU336" s="319"/>
      <c r="AV336" s="319"/>
      <c r="AW336" s="319"/>
      <c r="AX336" s="319"/>
      <c r="AY336" s="319"/>
      <c r="AZ336" s="319"/>
      <c r="BA336" s="319"/>
      <c r="BB336" s="319"/>
      <c r="BC336" s="319"/>
      <c r="BD336" s="319"/>
      <c r="BE336" s="319"/>
      <c r="BF336" s="319"/>
      <c r="BG336" s="319"/>
      <c r="BH336" s="319"/>
      <c r="BI336" s="261"/>
      <c r="BJ336" s="261"/>
      <c r="BK336" s="261"/>
      <c r="BL336" s="261"/>
      <c r="BM336" s="261"/>
      <c r="BN336" s="261"/>
      <c r="BO336" s="261"/>
      <c r="BP336" s="261"/>
      <c r="BQ336" s="261"/>
      <c r="BR336" s="261"/>
      <c r="BS336" s="261"/>
      <c r="BT336" s="261"/>
      <c r="BU336" s="261"/>
      <c r="BV336" s="261"/>
      <c r="BW336" s="261"/>
    </row>
    <row r="337" spans="2:75">
      <c r="B337" s="230"/>
      <c r="C337" s="230"/>
      <c r="D337" s="230"/>
      <c r="E337" s="230"/>
      <c r="F337" s="230"/>
      <c r="G337" s="230"/>
      <c r="H337" s="230"/>
      <c r="I337" s="230"/>
      <c r="J337" s="230"/>
      <c r="K337" s="230"/>
      <c r="L337" s="230"/>
      <c r="M337" s="230"/>
      <c r="N337" s="315"/>
      <c r="O337" s="315"/>
      <c r="P337" s="315"/>
      <c r="Q337" s="315"/>
      <c r="R337" s="315"/>
      <c r="S337" s="315"/>
      <c r="T337" s="315"/>
      <c r="U337" s="315"/>
      <c r="V337" s="315"/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5"/>
      <c r="AH337" s="315"/>
      <c r="AI337" s="315"/>
      <c r="AJ337" s="315"/>
      <c r="AK337" s="315"/>
      <c r="AL337" s="315"/>
      <c r="AM337" s="315"/>
      <c r="AN337" s="315"/>
      <c r="AO337" s="315"/>
      <c r="AP337" s="315"/>
      <c r="AQ337" s="320"/>
      <c r="AR337" s="317"/>
      <c r="AS337" s="319"/>
      <c r="AT337" s="319"/>
      <c r="AU337" s="319"/>
      <c r="AV337" s="319"/>
      <c r="AW337" s="319"/>
      <c r="AX337" s="319"/>
      <c r="AY337" s="319"/>
      <c r="AZ337" s="319"/>
      <c r="BA337" s="319"/>
      <c r="BB337" s="319"/>
      <c r="BC337" s="319"/>
      <c r="BD337" s="319"/>
      <c r="BE337" s="319"/>
      <c r="BF337" s="319"/>
      <c r="BG337" s="319"/>
      <c r="BH337" s="319"/>
      <c r="BI337" s="261"/>
      <c r="BJ337" s="261"/>
      <c r="BK337" s="261"/>
      <c r="BL337" s="261"/>
      <c r="BM337" s="261"/>
      <c r="BN337" s="261"/>
      <c r="BO337" s="261"/>
      <c r="BP337" s="261"/>
      <c r="BQ337" s="261"/>
      <c r="BR337" s="261"/>
      <c r="BS337" s="261"/>
      <c r="BT337" s="261"/>
      <c r="BU337" s="261"/>
      <c r="BV337" s="261"/>
      <c r="BW337" s="261"/>
    </row>
    <row r="338" spans="2:75">
      <c r="B338" s="230"/>
      <c r="C338" s="230"/>
      <c r="D338" s="230"/>
      <c r="E338" s="230"/>
      <c r="F338" s="230"/>
      <c r="G338" s="230"/>
      <c r="H338" s="230"/>
      <c r="I338" s="230"/>
      <c r="J338" s="230"/>
      <c r="K338" s="230"/>
      <c r="L338" s="230"/>
      <c r="M338" s="230"/>
      <c r="N338" s="315"/>
      <c r="O338" s="315"/>
      <c r="P338" s="315"/>
      <c r="Q338" s="315"/>
      <c r="R338" s="315"/>
      <c r="S338" s="315"/>
      <c r="T338" s="315"/>
      <c r="U338" s="315"/>
      <c r="V338" s="315"/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5"/>
      <c r="AH338" s="315"/>
      <c r="AI338" s="315"/>
      <c r="AJ338" s="315"/>
      <c r="AK338" s="315"/>
      <c r="AL338" s="315"/>
      <c r="AM338" s="315"/>
      <c r="AN338" s="315"/>
      <c r="AO338" s="315"/>
      <c r="AP338" s="315"/>
      <c r="AQ338" s="320"/>
      <c r="AR338" s="317"/>
      <c r="AS338" s="319"/>
      <c r="AT338" s="319"/>
      <c r="AU338" s="319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19"/>
      <c r="BI338" s="261"/>
      <c r="BJ338" s="261"/>
      <c r="BK338" s="261"/>
      <c r="BL338" s="261"/>
      <c r="BM338" s="261"/>
      <c r="BN338" s="261"/>
      <c r="BO338" s="261"/>
      <c r="BP338" s="261"/>
      <c r="BQ338" s="261"/>
      <c r="BR338" s="261"/>
      <c r="BS338" s="261"/>
      <c r="BT338" s="261"/>
      <c r="BU338" s="261"/>
      <c r="BV338" s="261"/>
      <c r="BW338" s="261"/>
    </row>
    <row r="339" spans="2:75">
      <c r="B339" s="230"/>
      <c r="C339" s="230"/>
      <c r="D339" s="230"/>
      <c r="E339" s="230"/>
      <c r="F339" s="230"/>
      <c r="G339" s="230"/>
      <c r="H339" s="230"/>
      <c r="I339" s="230"/>
      <c r="J339" s="230"/>
      <c r="K339" s="230"/>
      <c r="L339" s="230"/>
      <c r="M339" s="230"/>
      <c r="N339" s="315"/>
      <c r="O339" s="315"/>
      <c r="P339" s="315"/>
      <c r="Q339" s="315"/>
      <c r="R339" s="315"/>
      <c r="S339" s="315"/>
      <c r="T339" s="315"/>
      <c r="U339" s="315"/>
      <c r="V339" s="315"/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5"/>
      <c r="AH339" s="315"/>
      <c r="AI339" s="315"/>
      <c r="AJ339" s="315"/>
      <c r="AK339" s="315"/>
      <c r="AL339" s="315"/>
      <c r="AM339" s="315"/>
      <c r="AN339" s="315"/>
      <c r="AO339" s="315"/>
      <c r="AP339" s="315"/>
      <c r="AQ339" s="320"/>
      <c r="AR339" s="317"/>
      <c r="AS339" s="319"/>
      <c r="AT339" s="319"/>
      <c r="AU339" s="319"/>
      <c r="AV339" s="319"/>
      <c r="AW339" s="319"/>
      <c r="AX339" s="319"/>
      <c r="AY339" s="319"/>
      <c r="AZ339" s="319"/>
      <c r="BA339" s="319"/>
      <c r="BB339" s="319"/>
      <c r="BC339" s="319"/>
      <c r="BD339" s="319"/>
      <c r="BE339" s="319"/>
      <c r="BF339" s="319"/>
      <c r="BG339" s="319"/>
      <c r="BH339" s="319"/>
      <c r="BI339" s="261"/>
      <c r="BJ339" s="261"/>
      <c r="BK339" s="261"/>
      <c r="BL339" s="261"/>
      <c r="BM339" s="261"/>
      <c r="BN339" s="261"/>
      <c r="BO339" s="261"/>
      <c r="BP339" s="261"/>
      <c r="BQ339" s="261"/>
      <c r="BR339" s="261"/>
      <c r="BS339" s="261"/>
      <c r="BT339" s="261"/>
      <c r="BU339" s="261"/>
      <c r="BV339" s="261"/>
      <c r="BW339" s="261"/>
    </row>
    <row r="340" spans="2:75">
      <c r="B340" s="230"/>
      <c r="C340" s="230"/>
      <c r="D340" s="230"/>
      <c r="E340" s="230"/>
      <c r="F340" s="230"/>
      <c r="G340" s="230"/>
      <c r="H340" s="230"/>
      <c r="I340" s="230"/>
      <c r="J340" s="230"/>
      <c r="K340" s="230"/>
      <c r="L340" s="230"/>
      <c r="M340" s="230"/>
      <c r="N340" s="315"/>
      <c r="O340" s="315"/>
      <c r="P340" s="315"/>
      <c r="Q340" s="315"/>
      <c r="R340" s="315"/>
      <c r="S340" s="315"/>
      <c r="T340" s="315"/>
      <c r="U340" s="315"/>
      <c r="V340" s="315"/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5"/>
      <c r="AH340" s="315"/>
      <c r="AI340" s="315"/>
      <c r="AJ340" s="315"/>
      <c r="AK340" s="315"/>
      <c r="AL340" s="315"/>
      <c r="AM340" s="315"/>
      <c r="AN340" s="315"/>
      <c r="AO340" s="315"/>
      <c r="AP340" s="315"/>
      <c r="AQ340" s="320"/>
      <c r="AR340" s="317"/>
      <c r="AS340" s="319"/>
      <c r="AT340" s="319"/>
      <c r="AU340" s="319"/>
      <c r="AV340" s="319"/>
      <c r="AW340" s="319"/>
      <c r="AX340" s="319"/>
      <c r="AY340" s="319"/>
      <c r="AZ340" s="319"/>
      <c r="BA340" s="319"/>
      <c r="BB340" s="319"/>
      <c r="BC340" s="319"/>
      <c r="BD340" s="319"/>
      <c r="BE340" s="319"/>
      <c r="BF340" s="319"/>
      <c r="BG340" s="319"/>
      <c r="BH340" s="319"/>
      <c r="BI340" s="261"/>
      <c r="BJ340" s="261"/>
      <c r="BK340" s="261"/>
      <c r="BL340" s="261"/>
      <c r="BM340" s="261"/>
      <c r="BN340" s="261"/>
      <c r="BO340" s="261"/>
      <c r="BP340" s="261"/>
      <c r="BQ340" s="261"/>
      <c r="BR340" s="261"/>
      <c r="BS340" s="261"/>
      <c r="BT340" s="261"/>
      <c r="BU340" s="261"/>
      <c r="BV340" s="261"/>
      <c r="BW340" s="261"/>
    </row>
    <row r="341" spans="2:75">
      <c r="B341" s="230"/>
      <c r="C341" s="230"/>
      <c r="D341" s="230"/>
      <c r="E341" s="230"/>
      <c r="F341" s="230"/>
      <c r="G341" s="230"/>
      <c r="H341" s="230"/>
      <c r="I341" s="230"/>
      <c r="J341" s="230"/>
      <c r="K341" s="230"/>
      <c r="L341" s="230"/>
      <c r="M341" s="230"/>
      <c r="N341" s="315"/>
      <c r="O341" s="315"/>
      <c r="P341" s="315"/>
      <c r="Q341" s="315"/>
      <c r="R341" s="315"/>
      <c r="S341" s="315"/>
      <c r="T341" s="315"/>
      <c r="U341" s="315"/>
      <c r="V341" s="315"/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5"/>
      <c r="AH341" s="315"/>
      <c r="AI341" s="315"/>
      <c r="AJ341" s="315"/>
      <c r="AK341" s="315"/>
      <c r="AL341" s="315"/>
      <c r="AM341" s="315"/>
      <c r="AN341" s="315"/>
      <c r="AO341" s="315"/>
      <c r="AP341" s="315"/>
      <c r="AQ341" s="320"/>
      <c r="AR341" s="317"/>
      <c r="AS341" s="319"/>
      <c r="AT341" s="319"/>
      <c r="AU341" s="319"/>
      <c r="AV341" s="319"/>
      <c r="AW341" s="319"/>
      <c r="AX341" s="319"/>
      <c r="AY341" s="319"/>
      <c r="AZ341" s="319"/>
      <c r="BA341" s="319"/>
      <c r="BB341" s="319"/>
      <c r="BC341" s="319"/>
      <c r="BD341" s="319"/>
      <c r="BE341" s="319"/>
      <c r="BF341" s="319"/>
      <c r="BG341" s="319"/>
      <c r="BH341" s="319"/>
      <c r="BI341" s="261"/>
      <c r="BJ341" s="261"/>
      <c r="BK341" s="261"/>
      <c r="BL341" s="261"/>
      <c r="BM341" s="261"/>
      <c r="BN341" s="261"/>
      <c r="BO341" s="261"/>
      <c r="BP341" s="261"/>
      <c r="BQ341" s="261"/>
      <c r="BR341" s="261"/>
      <c r="BS341" s="261"/>
      <c r="BT341" s="261"/>
      <c r="BU341" s="261"/>
      <c r="BV341" s="261"/>
      <c r="BW341" s="261"/>
    </row>
    <row r="342" spans="2:75">
      <c r="B342" s="230"/>
      <c r="C342" s="230"/>
      <c r="D342" s="230"/>
      <c r="E342" s="230"/>
      <c r="F342" s="230"/>
      <c r="G342" s="230"/>
      <c r="H342" s="230"/>
      <c r="I342" s="230"/>
      <c r="J342" s="230"/>
      <c r="K342" s="230"/>
      <c r="L342" s="230"/>
      <c r="M342" s="230"/>
      <c r="N342" s="315"/>
      <c r="O342" s="315"/>
      <c r="P342" s="315"/>
      <c r="Q342" s="315"/>
      <c r="R342" s="315"/>
      <c r="S342" s="315"/>
      <c r="T342" s="315"/>
      <c r="U342" s="315"/>
      <c r="V342" s="315"/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5"/>
      <c r="AH342" s="315"/>
      <c r="AI342" s="315"/>
      <c r="AJ342" s="315"/>
      <c r="AK342" s="315"/>
      <c r="AL342" s="315"/>
      <c r="AM342" s="315"/>
      <c r="AN342" s="315"/>
      <c r="AO342" s="315"/>
      <c r="AP342" s="315"/>
      <c r="AQ342" s="320"/>
      <c r="AR342" s="317"/>
      <c r="AS342" s="319"/>
      <c r="AT342" s="319"/>
      <c r="AU342" s="319"/>
      <c r="AV342" s="319"/>
      <c r="AW342" s="319"/>
      <c r="AX342" s="319"/>
      <c r="AY342" s="319"/>
      <c r="AZ342" s="319"/>
      <c r="BA342" s="319"/>
      <c r="BB342" s="319"/>
      <c r="BC342" s="319"/>
      <c r="BD342" s="319"/>
      <c r="BE342" s="319"/>
      <c r="BF342" s="319"/>
      <c r="BG342" s="319"/>
      <c r="BH342" s="319"/>
      <c r="BI342" s="261"/>
      <c r="BJ342" s="261"/>
      <c r="BK342" s="261"/>
      <c r="BL342" s="261"/>
      <c r="BM342" s="261"/>
      <c r="BN342" s="261"/>
      <c r="BO342" s="261"/>
      <c r="BP342" s="261"/>
      <c r="BQ342" s="261"/>
      <c r="BR342" s="261"/>
      <c r="BS342" s="261"/>
      <c r="BT342" s="261"/>
      <c r="BU342" s="261"/>
      <c r="BV342" s="261"/>
      <c r="BW342" s="261"/>
    </row>
    <row r="343" spans="2:75">
      <c r="B343" s="230"/>
      <c r="C343" s="230"/>
      <c r="D343" s="230"/>
      <c r="E343" s="230"/>
      <c r="F343" s="230"/>
      <c r="G343" s="230"/>
      <c r="H343" s="230"/>
      <c r="I343" s="230"/>
      <c r="J343" s="230"/>
      <c r="K343" s="230"/>
      <c r="L343" s="230"/>
      <c r="M343" s="230"/>
      <c r="N343" s="315"/>
      <c r="O343" s="315"/>
      <c r="P343" s="315"/>
      <c r="Q343" s="315"/>
      <c r="R343" s="315"/>
      <c r="S343" s="315"/>
      <c r="T343" s="315"/>
      <c r="U343" s="315"/>
      <c r="V343" s="315"/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5"/>
      <c r="AH343" s="315"/>
      <c r="AI343" s="315"/>
      <c r="AJ343" s="315"/>
      <c r="AK343" s="315"/>
      <c r="AL343" s="315"/>
      <c r="AM343" s="315"/>
      <c r="AN343" s="315"/>
      <c r="AO343" s="315"/>
      <c r="AP343" s="315"/>
      <c r="AQ343" s="320"/>
      <c r="AR343" s="317"/>
      <c r="AS343" s="319"/>
      <c r="AT343" s="319"/>
      <c r="AU343" s="319"/>
      <c r="AV343" s="319"/>
      <c r="AW343" s="319"/>
      <c r="AX343" s="319"/>
      <c r="AY343" s="319"/>
      <c r="AZ343" s="319"/>
      <c r="BA343" s="319"/>
      <c r="BB343" s="319"/>
      <c r="BC343" s="319"/>
      <c r="BD343" s="319"/>
      <c r="BE343" s="319"/>
      <c r="BF343" s="319"/>
      <c r="BG343" s="319"/>
      <c r="BH343" s="319"/>
      <c r="BI343" s="261"/>
      <c r="BJ343" s="261"/>
      <c r="BK343" s="261"/>
      <c r="BL343" s="261"/>
      <c r="BM343" s="261"/>
      <c r="BN343" s="261"/>
      <c r="BO343" s="261"/>
      <c r="BP343" s="261"/>
      <c r="BQ343" s="261"/>
      <c r="BR343" s="261"/>
      <c r="BS343" s="261"/>
      <c r="BT343" s="261"/>
      <c r="BU343" s="261"/>
      <c r="BV343" s="261"/>
      <c r="BW343" s="261"/>
    </row>
    <row r="344" spans="2:75">
      <c r="B344" s="230"/>
      <c r="C344" s="230"/>
      <c r="D344" s="230"/>
      <c r="E344" s="230"/>
      <c r="F344" s="230"/>
      <c r="G344" s="230"/>
      <c r="H344" s="230"/>
      <c r="I344" s="230"/>
      <c r="J344" s="230"/>
      <c r="K344" s="230"/>
      <c r="L344" s="230"/>
      <c r="M344" s="230"/>
      <c r="N344" s="315"/>
      <c r="O344" s="315"/>
      <c r="P344" s="315"/>
      <c r="Q344" s="315"/>
      <c r="R344" s="315"/>
      <c r="S344" s="315"/>
      <c r="T344" s="315"/>
      <c r="U344" s="315"/>
      <c r="V344" s="315"/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5"/>
      <c r="AH344" s="315"/>
      <c r="AI344" s="315"/>
      <c r="AJ344" s="315"/>
      <c r="AK344" s="315"/>
      <c r="AL344" s="315"/>
      <c r="AM344" s="315"/>
      <c r="AN344" s="315"/>
      <c r="AO344" s="315"/>
      <c r="AP344" s="315"/>
      <c r="AQ344" s="320"/>
      <c r="AR344" s="317"/>
      <c r="AS344" s="319"/>
      <c r="AT344" s="319"/>
      <c r="AU344" s="319"/>
      <c r="AV344" s="319"/>
      <c r="AW344" s="319"/>
      <c r="AX344" s="319"/>
      <c r="AY344" s="319"/>
      <c r="AZ344" s="319"/>
      <c r="BA344" s="319"/>
      <c r="BB344" s="319"/>
      <c r="BC344" s="319"/>
      <c r="BD344" s="319"/>
      <c r="BE344" s="319"/>
      <c r="BF344" s="319"/>
      <c r="BG344" s="319"/>
      <c r="BH344" s="319"/>
      <c r="BI344" s="261"/>
      <c r="BJ344" s="261"/>
      <c r="BK344" s="261"/>
      <c r="BL344" s="261"/>
      <c r="BM344" s="261"/>
      <c r="BN344" s="261"/>
      <c r="BO344" s="261"/>
      <c r="BP344" s="261"/>
      <c r="BQ344" s="261"/>
      <c r="BR344" s="261"/>
      <c r="BS344" s="261"/>
      <c r="BT344" s="261"/>
      <c r="BU344" s="261"/>
      <c r="BV344" s="261"/>
      <c r="BW344" s="261"/>
    </row>
    <row r="345" spans="2:75">
      <c r="B345" s="230"/>
      <c r="C345" s="230"/>
      <c r="D345" s="230"/>
      <c r="E345" s="230"/>
      <c r="F345" s="230"/>
      <c r="G345" s="230"/>
      <c r="H345" s="230"/>
      <c r="I345" s="230"/>
      <c r="J345" s="230"/>
      <c r="K345" s="230"/>
      <c r="L345" s="230"/>
      <c r="M345" s="230"/>
      <c r="N345" s="315"/>
      <c r="O345" s="315"/>
      <c r="P345" s="315"/>
      <c r="Q345" s="315"/>
      <c r="R345" s="315"/>
      <c r="S345" s="315"/>
      <c r="T345" s="315"/>
      <c r="U345" s="315"/>
      <c r="V345" s="315"/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5"/>
      <c r="AH345" s="315"/>
      <c r="AI345" s="315"/>
      <c r="AJ345" s="315"/>
      <c r="AK345" s="315"/>
      <c r="AL345" s="315"/>
      <c r="AM345" s="315"/>
      <c r="AN345" s="315"/>
      <c r="AO345" s="315"/>
      <c r="AP345" s="315"/>
      <c r="AQ345" s="320"/>
      <c r="AR345" s="317"/>
      <c r="AS345" s="319"/>
      <c r="AT345" s="319"/>
      <c r="AU345" s="319"/>
      <c r="AV345" s="319"/>
      <c r="AW345" s="319"/>
      <c r="AX345" s="319"/>
      <c r="AY345" s="319"/>
      <c r="AZ345" s="319"/>
      <c r="BA345" s="319"/>
      <c r="BB345" s="319"/>
      <c r="BC345" s="319"/>
      <c r="BD345" s="319"/>
      <c r="BE345" s="319"/>
      <c r="BF345" s="319"/>
      <c r="BG345" s="319"/>
      <c r="BH345" s="319"/>
      <c r="BI345" s="261"/>
      <c r="BJ345" s="261"/>
      <c r="BK345" s="261"/>
      <c r="BL345" s="261"/>
      <c r="BM345" s="261"/>
      <c r="BN345" s="261"/>
      <c r="BO345" s="261"/>
      <c r="BP345" s="261"/>
      <c r="BQ345" s="261"/>
      <c r="BR345" s="261"/>
      <c r="BS345" s="261"/>
      <c r="BT345" s="261"/>
      <c r="BU345" s="261"/>
      <c r="BV345" s="261"/>
      <c r="BW345" s="261"/>
    </row>
    <row r="346" spans="2:75">
      <c r="B346" s="230"/>
      <c r="C346" s="230"/>
      <c r="D346" s="230"/>
      <c r="E346" s="230"/>
      <c r="F346" s="230"/>
      <c r="G346" s="230"/>
      <c r="H346" s="230"/>
      <c r="I346" s="230"/>
      <c r="J346" s="230"/>
      <c r="K346" s="230"/>
      <c r="L346" s="230"/>
      <c r="M346" s="230"/>
      <c r="N346" s="315"/>
      <c r="O346" s="315"/>
      <c r="P346" s="315"/>
      <c r="Q346" s="315"/>
      <c r="R346" s="315"/>
      <c r="S346" s="315"/>
      <c r="T346" s="315"/>
      <c r="U346" s="315"/>
      <c r="V346" s="315"/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5"/>
      <c r="AH346" s="315"/>
      <c r="AI346" s="315"/>
      <c r="AJ346" s="315"/>
      <c r="AK346" s="315"/>
      <c r="AL346" s="315"/>
      <c r="AM346" s="315"/>
      <c r="AN346" s="315"/>
      <c r="AO346" s="315"/>
      <c r="AP346" s="315"/>
      <c r="AQ346" s="320"/>
      <c r="AR346" s="317"/>
      <c r="AS346" s="319"/>
      <c r="AT346" s="319"/>
      <c r="AU346" s="319"/>
      <c r="AV346" s="319"/>
      <c r="AW346" s="319"/>
      <c r="AX346" s="319"/>
      <c r="AY346" s="319"/>
      <c r="AZ346" s="319"/>
      <c r="BA346" s="319"/>
      <c r="BB346" s="319"/>
      <c r="BC346" s="319"/>
      <c r="BD346" s="319"/>
      <c r="BE346" s="319"/>
      <c r="BF346" s="319"/>
      <c r="BG346" s="319"/>
      <c r="BH346" s="319"/>
      <c r="BI346" s="261"/>
      <c r="BJ346" s="261"/>
      <c r="BK346" s="261"/>
      <c r="BL346" s="261"/>
      <c r="BM346" s="261"/>
      <c r="BN346" s="261"/>
      <c r="BO346" s="261"/>
      <c r="BP346" s="261"/>
      <c r="BQ346" s="261"/>
      <c r="BR346" s="261"/>
      <c r="BS346" s="261"/>
      <c r="BT346" s="261"/>
      <c r="BU346" s="261"/>
      <c r="BV346" s="261"/>
      <c r="BW346" s="261"/>
    </row>
    <row r="347" spans="2:75">
      <c r="B347" s="230"/>
      <c r="C347" s="230"/>
      <c r="D347" s="230"/>
      <c r="E347" s="230"/>
      <c r="F347" s="230"/>
      <c r="G347" s="230"/>
      <c r="H347" s="230"/>
      <c r="I347" s="230"/>
      <c r="J347" s="230"/>
      <c r="K347" s="230"/>
      <c r="L347" s="230"/>
      <c r="M347" s="230"/>
      <c r="N347" s="315"/>
      <c r="O347" s="315"/>
      <c r="P347" s="315"/>
      <c r="Q347" s="315"/>
      <c r="R347" s="315"/>
      <c r="S347" s="315"/>
      <c r="T347" s="315"/>
      <c r="U347" s="315"/>
      <c r="V347" s="315"/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5"/>
      <c r="AH347" s="315"/>
      <c r="AI347" s="315"/>
      <c r="AJ347" s="315"/>
      <c r="AK347" s="315"/>
      <c r="AL347" s="315"/>
      <c r="AM347" s="315"/>
      <c r="AN347" s="315"/>
      <c r="AO347" s="315"/>
      <c r="AP347" s="315"/>
      <c r="AQ347" s="320"/>
      <c r="AR347" s="317"/>
      <c r="AS347" s="319"/>
      <c r="AT347" s="319"/>
      <c r="AU347" s="319"/>
      <c r="AV347" s="319"/>
      <c r="AW347" s="319"/>
      <c r="AX347" s="319"/>
      <c r="AY347" s="319"/>
      <c r="AZ347" s="319"/>
      <c r="BA347" s="319"/>
      <c r="BB347" s="319"/>
      <c r="BC347" s="319"/>
      <c r="BD347" s="319"/>
      <c r="BE347" s="319"/>
      <c r="BF347" s="319"/>
      <c r="BG347" s="319"/>
      <c r="BH347" s="319"/>
      <c r="BI347" s="261"/>
      <c r="BJ347" s="261"/>
      <c r="BK347" s="261"/>
      <c r="BL347" s="261"/>
      <c r="BM347" s="261"/>
      <c r="BN347" s="261"/>
      <c r="BO347" s="261"/>
      <c r="BP347" s="261"/>
      <c r="BQ347" s="261"/>
      <c r="BR347" s="261"/>
      <c r="BS347" s="261"/>
      <c r="BT347" s="261"/>
      <c r="BU347" s="261"/>
      <c r="BV347" s="261"/>
      <c r="BW347" s="261"/>
    </row>
    <row r="348" spans="2:75">
      <c r="B348" s="230"/>
      <c r="C348" s="230"/>
      <c r="D348" s="230"/>
      <c r="E348" s="230"/>
      <c r="F348" s="230"/>
      <c r="G348" s="230"/>
      <c r="H348" s="230"/>
      <c r="I348" s="230"/>
      <c r="J348" s="230"/>
      <c r="K348" s="230"/>
      <c r="L348" s="230"/>
      <c r="M348" s="230"/>
      <c r="N348" s="315"/>
      <c r="O348" s="315"/>
      <c r="P348" s="315"/>
      <c r="Q348" s="315"/>
      <c r="R348" s="315"/>
      <c r="S348" s="315"/>
      <c r="T348" s="315"/>
      <c r="U348" s="315"/>
      <c r="V348" s="315"/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5"/>
      <c r="AH348" s="315"/>
      <c r="AI348" s="315"/>
      <c r="AJ348" s="315"/>
      <c r="AK348" s="315"/>
      <c r="AL348" s="315"/>
      <c r="AM348" s="315"/>
      <c r="AN348" s="315"/>
      <c r="AO348" s="315"/>
      <c r="AP348" s="315"/>
      <c r="AQ348" s="320"/>
      <c r="AR348" s="317"/>
      <c r="AS348" s="319"/>
      <c r="AT348" s="319"/>
      <c r="AU348" s="319"/>
      <c r="AV348" s="319"/>
      <c r="AW348" s="319"/>
      <c r="AX348" s="319"/>
      <c r="AY348" s="319"/>
      <c r="AZ348" s="319"/>
      <c r="BA348" s="319"/>
      <c r="BB348" s="319"/>
      <c r="BC348" s="319"/>
      <c r="BD348" s="319"/>
      <c r="BE348" s="319"/>
      <c r="BF348" s="319"/>
      <c r="BG348" s="319"/>
      <c r="BH348" s="319"/>
      <c r="BI348" s="261"/>
      <c r="BJ348" s="261"/>
      <c r="BK348" s="261"/>
      <c r="BL348" s="261"/>
      <c r="BM348" s="261"/>
      <c r="BN348" s="261"/>
      <c r="BO348" s="261"/>
      <c r="BP348" s="261"/>
      <c r="BQ348" s="261"/>
      <c r="BR348" s="261"/>
      <c r="BS348" s="261"/>
      <c r="BT348" s="261"/>
      <c r="BU348" s="261"/>
      <c r="BV348" s="261"/>
      <c r="BW348" s="261"/>
    </row>
    <row r="349" spans="2:75">
      <c r="B349" s="230"/>
      <c r="C349" s="230"/>
      <c r="D349" s="230"/>
      <c r="E349" s="230"/>
      <c r="F349" s="230"/>
      <c r="G349" s="230"/>
      <c r="H349" s="230"/>
      <c r="I349" s="230"/>
      <c r="J349" s="230"/>
      <c r="K349" s="230"/>
      <c r="L349" s="230"/>
      <c r="M349" s="230"/>
      <c r="N349" s="315"/>
      <c r="O349" s="315"/>
      <c r="P349" s="315"/>
      <c r="Q349" s="315"/>
      <c r="R349" s="315"/>
      <c r="S349" s="315"/>
      <c r="T349" s="315"/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15"/>
      <c r="AI349" s="315"/>
      <c r="AJ349" s="315"/>
      <c r="AK349" s="315"/>
      <c r="AL349" s="315"/>
      <c r="AM349" s="315"/>
      <c r="AN349" s="315"/>
      <c r="AO349" s="315"/>
      <c r="AP349" s="315"/>
      <c r="AQ349" s="320"/>
      <c r="AR349" s="317"/>
      <c r="AS349" s="319"/>
      <c r="AT349" s="319"/>
      <c r="AU349" s="319"/>
      <c r="AV349" s="319"/>
      <c r="AW349" s="319"/>
      <c r="AX349" s="319"/>
      <c r="AY349" s="319"/>
      <c r="AZ349" s="319"/>
      <c r="BA349" s="319"/>
      <c r="BB349" s="319"/>
      <c r="BC349" s="319"/>
      <c r="BD349" s="319"/>
      <c r="BE349" s="319"/>
      <c r="BF349" s="319"/>
      <c r="BG349" s="319"/>
      <c r="BH349" s="319"/>
      <c r="BI349" s="261"/>
      <c r="BJ349" s="261"/>
      <c r="BK349" s="261"/>
      <c r="BL349" s="261"/>
      <c r="BM349" s="261"/>
      <c r="BN349" s="261"/>
      <c r="BO349" s="261"/>
      <c r="BP349" s="261"/>
      <c r="BQ349" s="261"/>
      <c r="BR349" s="261"/>
      <c r="BS349" s="261"/>
      <c r="BT349" s="261"/>
      <c r="BU349" s="261"/>
      <c r="BV349" s="261"/>
      <c r="BW349" s="261"/>
    </row>
    <row r="350" spans="2:75">
      <c r="B350" s="230"/>
      <c r="C350" s="230"/>
      <c r="D350" s="230"/>
      <c r="E350" s="230"/>
      <c r="F350" s="230"/>
      <c r="G350" s="230"/>
      <c r="H350" s="230"/>
      <c r="I350" s="230"/>
      <c r="J350" s="230"/>
      <c r="K350" s="230"/>
      <c r="L350" s="230"/>
      <c r="M350" s="230"/>
      <c r="N350" s="315"/>
      <c r="O350" s="315"/>
      <c r="P350" s="315"/>
      <c r="Q350" s="315"/>
      <c r="R350" s="315"/>
      <c r="S350" s="315"/>
      <c r="T350" s="315"/>
      <c r="U350" s="315"/>
      <c r="V350" s="315"/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5"/>
      <c r="AH350" s="315"/>
      <c r="AI350" s="315"/>
      <c r="AJ350" s="315"/>
      <c r="AK350" s="315"/>
      <c r="AL350" s="315"/>
      <c r="AM350" s="315"/>
      <c r="AN350" s="315"/>
      <c r="AO350" s="315"/>
      <c r="AP350" s="315"/>
      <c r="AQ350" s="320"/>
      <c r="AR350" s="317"/>
      <c r="AS350" s="319"/>
      <c r="AT350" s="319"/>
      <c r="AU350" s="319"/>
      <c r="AV350" s="319"/>
      <c r="AW350" s="319"/>
      <c r="AX350" s="319"/>
      <c r="AY350" s="319"/>
      <c r="AZ350" s="319"/>
      <c r="BA350" s="319"/>
      <c r="BB350" s="319"/>
      <c r="BC350" s="319"/>
      <c r="BD350" s="319"/>
      <c r="BE350" s="319"/>
      <c r="BF350" s="319"/>
      <c r="BG350" s="319"/>
      <c r="BH350" s="319"/>
      <c r="BI350" s="261"/>
      <c r="BJ350" s="261"/>
      <c r="BK350" s="261"/>
      <c r="BL350" s="261"/>
      <c r="BM350" s="261"/>
      <c r="BN350" s="261"/>
      <c r="BO350" s="261"/>
      <c r="BP350" s="261"/>
      <c r="BQ350" s="261"/>
      <c r="BR350" s="261"/>
      <c r="BS350" s="261"/>
      <c r="BT350" s="261"/>
      <c r="BU350" s="261"/>
      <c r="BV350" s="261"/>
      <c r="BW350" s="261"/>
    </row>
    <row r="351" spans="2:75">
      <c r="B351" s="230"/>
      <c r="C351" s="230"/>
      <c r="D351" s="230"/>
      <c r="E351" s="230"/>
      <c r="F351" s="230"/>
      <c r="G351" s="230"/>
      <c r="H351" s="230"/>
      <c r="I351" s="230"/>
      <c r="J351" s="230"/>
      <c r="K351" s="230"/>
      <c r="L351" s="230"/>
      <c r="M351" s="230"/>
      <c r="N351" s="315"/>
      <c r="O351" s="315"/>
      <c r="P351" s="315"/>
      <c r="Q351" s="315"/>
      <c r="R351" s="315"/>
      <c r="S351" s="315"/>
      <c r="T351" s="315"/>
      <c r="U351" s="315"/>
      <c r="V351" s="315"/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5"/>
      <c r="AH351" s="315"/>
      <c r="AI351" s="315"/>
      <c r="AJ351" s="315"/>
      <c r="AK351" s="315"/>
      <c r="AL351" s="315"/>
      <c r="AM351" s="315"/>
      <c r="AN351" s="315"/>
      <c r="AO351" s="315"/>
      <c r="AP351" s="315"/>
      <c r="AQ351" s="320"/>
      <c r="AR351" s="317"/>
      <c r="AS351" s="319"/>
      <c r="AT351" s="319"/>
      <c r="AU351" s="319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19"/>
      <c r="BI351" s="261"/>
      <c r="BJ351" s="261"/>
      <c r="BK351" s="261"/>
      <c r="BL351" s="261"/>
      <c r="BM351" s="261"/>
      <c r="BN351" s="261"/>
      <c r="BO351" s="261"/>
      <c r="BP351" s="261"/>
      <c r="BQ351" s="261"/>
      <c r="BR351" s="261"/>
      <c r="BS351" s="261"/>
      <c r="BT351" s="261"/>
      <c r="BU351" s="261"/>
      <c r="BV351" s="261"/>
      <c r="BW351" s="261"/>
    </row>
    <row r="352" spans="2:75">
      <c r="B352" s="230"/>
      <c r="C352" s="230"/>
      <c r="D352" s="230"/>
      <c r="E352" s="230"/>
      <c r="F352" s="230"/>
      <c r="G352" s="230"/>
      <c r="H352" s="230"/>
      <c r="I352" s="230"/>
      <c r="J352" s="230"/>
      <c r="K352" s="230"/>
      <c r="L352" s="230"/>
      <c r="M352" s="230"/>
      <c r="N352" s="315"/>
      <c r="O352" s="315"/>
      <c r="P352" s="315"/>
      <c r="Q352" s="315"/>
      <c r="R352" s="315"/>
      <c r="S352" s="315"/>
      <c r="T352" s="315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  <c r="AH352" s="315"/>
      <c r="AI352" s="315"/>
      <c r="AJ352" s="315"/>
      <c r="AK352" s="315"/>
      <c r="AL352" s="315"/>
      <c r="AM352" s="315"/>
      <c r="AN352" s="315"/>
      <c r="AO352" s="315"/>
      <c r="AP352" s="315"/>
      <c r="AQ352" s="320"/>
      <c r="AR352" s="319"/>
      <c r="AS352" s="319"/>
      <c r="AT352" s="319"/>
      <c r="AU352" s="319"/>
      <c r="AV352" s="319"/>
      <c r="AW352" s="319"/>
      <c r="AX352" s="319"/>
      <c r="AY352" s="319"/>
      <c r="AZ352" s="319"/>
      <c r="BA352" s="319"/>
      <c r="BB352" s="319"/>
      <c r="BC352" s="319"/>
      <c r="BD352" s="319"/>
      <c r="BE352" s="319"/>
      <c r="BF352" s="319"/>
      <c r="BG352" s="319"/>
      <c r="BH352" s="319"/>
      <c r="BI352" s="261"/>
      <c r="BJ352" s="261"/>
      <c r="BK352" s="261"/>
      <c r="BL352" s="261"/>
      <c r="BM352" s="261"/>
      <c r="BN352" s="261"/>
      <c r="BO352" s="261"/>
      <c r="BP352" s="261"/>
      <c r="BQ352" s="261"/>
      <c r="BR352" s="261"/>
      <c r="BS352" s="261"/>
      <c r="BT352" s="261"/>
      <c r="BU352" s="261"/>
      <c r="BV352" s="261"/>
      <c r="BW352" s="261"/>
    </row>
    <row r="353" spans="2:75">
      <c r="B353" s="230"/>
      <c r="C353" s="230"/>
      <c r="D353" s="230"/>
      <c r="E353" s="230"/>
      <c r="F353" s="230"/>
      <c r="G353" s="230"/>
      <c r="H353" s="230"/>
      <c r="I353" s="230"/>
      <c r="J353" s="230"/>
      <c r="K353" s="230"/>
      <c r="L353" s="230"/>
      <c r="M353" s="230"/>
      <c r="N353" s="315"/>
      <c r="O353" s="315"/>
      <c r="P353" s="315"/>
      <c r="Q353" s="315"/>
      <c r="R353" s="315"/>
      <c r="S353" s="315"/>
      <c r="T353" s="315"/>
      <c r="U353" s="315"/>
      <c r="V353" s="315"/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5"/>
      <c r="AH353" s="315"/>
      <c r="AI353" s="315"/>
      <c r="AJ353" s="315"/>
      <c r="AK353" s="315"/>
      <c r="AL353" s="315"/>
      <c r="AM353" s="315"/>
      <c r="AN353" s="315"/>
      <c r="AO353" s="315"/>
      <c r="AP353" s="315"/>
      <c r="AQ353" s="320"/>
      <c r="AR353" s="319"/>
      <c r="AS353" s="319"/>
      <c r="AT353" s="319"/>
      <c r="AU353" s="319"/>
      <c r="AV353" s="319"/>
      <c r="AW353" s="319"/>
      <c r="AX353" s="319"/>
      <c r="AY353" s="319"/>
      <c r="AZ353" s="319"/>
      <c r="BA353" s="319"/>
      <c r="BB353" s="319"/>
      <c r="BC353" s="319"/>
      <c r="BD353" s="319"/>
      <c r="BE353" s="319"/>
      <c r="BF353" s="319"/>
      <c r="BG353" s="319"/>
      <c r="BH353" s="319"/>
      <c r="BI353" s="261"/>
      <c r="BJ353" s="261"/>
      <c r="BK353" s="261"/>
      <c r="BL353" s="261"/>
      <c r="BM353" s="261"/>
      <c r="BN353" s="261"/>
      <c r="BO353" s="261"/>
      <c r="BP353" s="261"/>
      <c r="BQ353" s="261"/>
      <c r="BR353" s="261"/>
      <c r="BS353" s="261"/>
      <c r="BT353" s="261"/>
      <c r="BU353" s="261"/>
      <c r="BV353" s="261"/>
      <c r="BW353" s="261"/>
    </row>
    <row r="354" spans="2:75">
      <c r="B354" s="230"/>
      <c r="C354" s="230"/>
      <c r="D354" s="230"/>
      <c r="E354" s="230"/>
      <c r="F354" s="230"/>
      <c r="G354" s="230"/>
      <c r="H354" s="230"/>
      <c r="I354" s="230"/>
      <c r="J354" s="230"/>
      <c r="K354" s="230"/>
      <c r="L354" s="230"/>
      <c r="M354" s="230"/>
      <c r="N354" s="315"/>
      <c r="O354" s="315"/>
      <c r="P354" s="315"/>
      <c r="Q354" s="315"/>
      <c r="R354" s="315"/>
      <c r="S354" s="315"/>
      <c r="T354" s="315"/>
      <c r="U354" s="315"/>
      <c r="V354" s="315"/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5"/>
      <c r="AH354" s="315"/>
      <c r="AI354" s="315"/>
      <c r="AJ354" s="315"/>
      <c r="AK354" s="315"/>
      <c r="AL354" s="315"/>
      <c r="AM354" s="315"/>
      <c r="AN354" s="315"/>
      <c r="AO354" s="315"/>
      <c r="AP354" s="315"/>
      <c r="AQ354" s="320"/>
      <c r="AR354" s="319"/>
      <c r="AS354" s="319"/>
      <c r="AT354" s="319"/>
      <c r="AU354" s="319"/>
      <c r="AV354" s="319"/>
      <c r="AW354" s="319"/>
      <c r="AX354" s="319"/>
      <c r="AY354" s="319"/>
      <c r="AZ354" s="319"/>
      <c r="BA354" s="319"/>
      <c r="BB354" s="319"/>
      <c r="BC354" s="319"/>
      <c r="BD354" s="319"/>
      <c r="BE354" s="319"/>
      <c r="BF354" s="319"/>
      <c r="BG354" s="319"/>
      <c r="BH354" s="319"/>
      <c r="BI354" s="261"/>
      <c r="BJ354" s="261"/>
      <c r="BK354" s="261"/>
      <c r="BL354" s="261"/>
      <c r="BM354" s="261"/>
      <c r="BN354" s="261"/>
      <c r="BO354" s="261"/>
      <c r="BP354" s="261"/>
      <c r="BQ354" s="261"/>
      <c r="BR354" s="261"/>
      <c r="BS354" s="261"/>
      <c r="BT354" s="261"/>
      <c r="BU354" s="261"/>
      <c r="BV354" s="261"/>
      <c r="BW354" s="261"/>
    </row>
    <row r="355" spans="2:75">
      <c r="B355" s="230"/>
      <c r="C355" s="230"/>
      <c r="D355" s="230"/>
      <c r="E355" s="230"/>
      <c r="F355" s="230"/>
      <c r="G355" s="230"/>
      <c r="H355" s="230"/>
      <c r="I355" s="230"/>
      <c r="J355" s="230"/>
      <c r="K355" s="230"/>
      <c r="L355" s="230"/>
      <c r="M355" s="230"/>
      <c r="N355" s="315"/>
      <c r="O355" s="315"/>
      <c r="P355" s="315"/>
      <c r="Q355" s="315"/>
      <c r="R355" s="315"/>
      <c r="S355" s="315"/>
      <c r="T355" s="315"/>
      <c r="U355" s="315"/>
      <c r="V355" s="315"/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5"/>
      <c r="AH355" s="315"/>
      <c r="AI355" s="315"/>
      <c r="AJ355" s="315"/>
      <c r="AK355" s="315"/>
      <c r="AL355" s="315"/>
      <c r="AM355" s="315"/>
      <c r="AN355" s="315"/>
      <c r="AO355" s="315"/>
      <c r="AP355" s="315"/>
      <c r="AQ355" s="320"/>
      <c r="AR355" s="319"/>
      <c r="AS355" s="319"/>
      <c r="AT355" s="319"/>
      <c r="AU355" s="319"/>
      <c r="AV355" s="319"/>
      <c r="AW355" s="319"/>
      <c r="AX355" s="319"/>
      <c r="AY355" s="319"/>
      <c r="AZ355" s="319"/>
      <c r="BA355" s="319"/>
      <c r="BB355" s="319"/>
      <c r="BC355" s="319"/>
      <c r="BD355" s="319"/>
      <c r="BE355" s="319"/>
      <c r="BF355" s="319"/>
      <c r="BG355" s="319"/>
      <c r="BH355" s="319"/>
      <c r="BI355" s="261"/>
      <c r="BJ355" s="261"/>
      <c r="BK355" s="261"/>
      <c r="BL355" s="261"/>
      <c r="BM355" s="261"/>
      <c r="BN355" s="261"/>
      <c r="BO355" s="261"/>
      <c r="BP355" s="261"/>
      <c r="BQ355" s="261"/>
      <c r="BR355" s="261"/>
      <c r="BS355" s="261"/>
      <c r="BT355" s="261"/>
      <c r="BU355" s="261"/>
      <c r="BV355" s="261"/>
      <c r="BW355" s="261"/>
    </row>
    <row r="356" spans="2:75">
      <c r="B356" s="230"/>
      <c r="C356" s="230"/>
      <c r="D356" s="230"/>
      <c r="E356" s="230"/>
      <c r="F356" s="230"/>
      <c r="G356" s="230"/>
      <c r="H356" s="230"/>
      <c r="I356" s="230"/>
      <c r="J356" s="230"/>
      <c r="K356" s="230"/>
      <c r="L356" s="230"/>
      <c r="M356" s="230"/>
      <c r="N356" s="315"/>
      <c r="O356" s="315"/>
      <c r="P356" s="315"/>
      <c r="Q356" s="315"/>
      <c r="R356" s="315"/>
      <c r="S356" s="315"/>
      <c r="T356" s="315"/>
      <c r="U356" s="315"/>
      <c r="V356" s="315"/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5"/>
      <c r="AH356" s="315"/>
      <c r="AI356" s="315"/>
      <c r="AJ356" s="315"/>
      <c r="AK356" s="315"/>
      <c r="AL356" s="315"/>
      <c r="AM356" s="315"/>
      <c r="AN356" s="315"/>
      <c r="AO356" s="315"/>
      <c r="AP356" s="315"/>
      <c r="AQ356" s="320"/>
      <c r="AR356" s="319"/>
      <c r="AS356" s="319"/>
      <c r="AT356" s="319"/>
      <c r="AU356" s="319"/>
      <c r="AV356" s="319"/>
      <c r="AW356" s="319"/>
      <c r="AX356" s="319"/>
      <c r="AY356" s="319"/>
      <c r="AZ356" s="319"/>
      <c r="BA356" s="319"/>
      <c r="BB356" s="319"/>
      <c r="BC356" s="319"/>
      <c r="BD356" s="319"/>
      <c r="BE356" s="319"/>
      <c r="BF356" s="319"/>
      <c r="BG356" s="319"/>
      <c r="BH356" s="319"/>
      <c r="BI356" s="261"/>
      <c r="BJ356" s="261"/>
      <c r="BK356" s="261"/>
      <c r="BL356" s="261"/>
      <c r="BM356" s="261"/>
      <c r="BN356" s="261"/>
      <c r="BO356" s="261"/>
      <c r="BP356" s="261"/>
      <c r="BQ356" s="261"/>
      <c r="BR356" s="261"/>
      <c r="BS356" s="261"/>
      <c r="BT356" s="261"/>
      <c r="BU356" s="261"/>
      <c r="BV356" s="261"/>
      <c r="BW356" s="261"/>
    </row>
    <row r="357" spans="2:75">
      <c r="B357" s="230"/>
      <c r="C357" s="230"/>
      <c r="D357" s="230"/>
      <c r="E357" s="230"/>
      <c r="F357" s="230"/>
      <c r="G357" s="230"/>
      <c r="H357" s="230"/>
      <c r="I357" s="230"/>
      <c r="J357" s="230"/>
      <c r="K357" s="230"/>
      <c r="L357" s="230"/>
      <c r="M357" s="230"/>
      <c r="N357" s="315"/>
      <c r="O357" s="315"/>
      <c r="P357" s="315"/>
      <c r="Q357" s="315"/>
      <c r="R357" s="315"/>
      <c r="S357" s="315"/>
      <c r="T357" s="315"/>
      <c r="U357" s="315"/>
      <c r="V357" s="315"/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5"/>
      <c r="AH357" s="315"/>
      <c r="AI357" s="315"/>
      <c r="AJ357" s="315"/>
      <c r="AK357" s="315"/>
      <c r="AL357" s="315"/>
      <c r="AM357" s="315"/>
      <c r="AN357" s="315"/>
      <c r="AO357" s="315"/>
      <c r="AP357" s="315"/>
      <c r="AQ357" s="320"/>
      <c r="AR357" s="319"/>
      <c r="AS357" s="319"/>
      <c r="AT357" s="319"/>
      <c r="AU357" s="319"/>
      <c r="AV357" s="319"/>
      <c r="AW357" s="319"/>
      <c r="AX357" s="319"/>
      <c r="AY357" s="319"/>
      <c r="AZ357" s="319"/>
      <c r="BA357" s="319"/>
      <c r="BB357" s="319"/>
      <c r="BC357" s="319"/>
      <c r="BD357" s="319"/>
      <c r="BE357" s="319"/>
      <c r="BF357" s="319"/>
      <c r="BG357" s="319"/>
      <c r="BH357" s="319"/>
      <c r="BI357" s="261"/>
      <c r="BJ357" s="261"/>
      <c r="BK357" s="261"/>
      <c r="BL357" s="261"/>
      <c r="BM357" s="261"/>
      <c r="BN357" s="261"/>
      <c r="BO357" s="261"/>
      <c r="BP357" s="261"/>
      <c r="BQ357" s="261"/>
      <c r="BR357" s="261"/>
      <c r="BS357" s="261"/>
      <c r="BT357" s="261"/>
      <c r="BU357" s="261"/>
      <c r="BV357" s="261"/>
      <c r="BW357" s="261"/>
    </row>
    <row r="358" spans="2:75">
      <c r="B358" s="230"/>
      <c r="C358" s="230"/>
      <c r="D358" s="230"/>
      <c r="E358" s="230"/>
      <c r="F358" s="230"/>
      <c r="G358" s="230"/>
      <c r="H358" s="230"/>
      <c r="I358" s="230"/>
      <c r="J358" s="230"/>
      <c r="K358" s="230"/>
      <c r="L358" s="230"/>
      <c r="M358" s="230"/>
      <c r="N358" s="315"/>
      <c r="O358" s="315"/>
      <c r="P358" s="315"/>
      <c r="Q358" s="315"/>
      <c r="R358" s="315"/>
      <c r="S358" s="315"/>
      <c r="T358" s="315"/>
      <c r="U358" s="315"/>
      <c r="V358" s="315"/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  <c r="AH358" s="315"/>
      <c r="AI358" s="315"/>
      <c r="AJ358" s="315"/>
      <c r="AK358" s="315"/>
      <c r="AL358" s="315"/>
      <c r="AM358" s="315"/>
      <c r="AN358" s="315"/>
      <c r="AO358" s="315"/>
      <c r="AP358" s="315"/>
      <c r="AQ358" s="320"/>
      <c r="AR358" s="319"/>
      <c r="AS358" s="319"/>
      <c r="AT358" s="319"/>
      <c r="AU358" s="319"/>
      <c r="AV358" s="319"/>
      <c r="AW358" s="319"/>
      <c r="AX358" s="319"/>
      <c r="AY358" s="319"/>
      <c r="AZ358" s="319"/>
      <c r="BA358" s="319"/>
      <c r="BB358" s="319"/>
      <c r="BC358" s="319"/>
      <c r="BD358" s="319"/>
      <c r="BE358" s="319"/>
      <c r="BF358" s="319"/>
      <c r="BG358" s="319"/>
      <c r="BH358" s="319"/>
      <c r="BI358" s="261"/>
      <c r="BJ358" s="261"/>
      <c r="BK358" s="261"/>
      <c r="BL358" s="261"/>
      <c r="BM358" s="261"/>
      <c r="BN358" s="261"/>
      <c r="BO358" s="261"/>
      <c r="BP358" s="261"/>
      <c r="BQ358" s="261"/>
      <c r="BR358" s="261"/>
      <c r="BS358" s="261"/>
      <c r="BT358" s="261"/>
      <c r="BU358" s="261"/>
      <c r="BV358" s="261"/>
      <c r="BW358" s="261"/>
    </row>
    <row r="359" spans="2:75">
      <c r="B359" s="230"/>
      <c r="C359" s="230"/>
      <c r="D359" s="230"/>
      <c r="E359" s="230"/>
      <c r="F359" s="230"/>
      <c r="G359" s="230"/>
      <c r="H359" s="230"/>
      <c r="I359" s="230"/>
      <c r="J359" s="230"/>
      <c r="K359" s="230"/>
      <c r="L359" s="230"/>
      <c r="M359" s="230"/>
      <c r="N359" s="315"/>
      <c r="O359" s="315"/>
      <c r="P359" s="315"/>
      <c r="Q359" s="315"/>
      <c r="R359" s="315"/>
      <c r="S359" s="315"/>
      <c r="T359" s="315"/>
      <c r="U359" s="315"/>
      <c r="V359" s="315"/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5"/>
      <c r="AH359" s="315"/>
      <c r="AI359" s="315"/>
      <c r="AJ359" s="315"/>
      <c r="AK359" s="315"/>
      <c r="AL359" s="315"/>
      <c r="AM359" s="315"/>
      <c r="AN359" s="315"/>
      <c r="AO359" s="315"/>
      <c r="AP359" s="315"/>
      <c r="AQ359" s="320"/>
      <c r="AR359" s="319"/>
      <c r="AS359" s="319"/>
      <c r="AT359" s="319"/>
      <c r="AU359" s="319"/>
      <c r="AV359" s="319"/>
      <c r="AW359" s="319"/>
      <c r="AX359" s="319"/>
      <c r="AY359" s="319"/>
      <c r="AZ359" s="319"/>
      <c r="BA359" s="319"/>
      <c r="BB359" s="319"/>
      <c r="BC359" s="319"/>
      <c r="BD359" s="319"/>
      <c r="BE359" s="319"/>
      <c r="BF359" s="319"/>
      <c r="BG359" s="319"/>
      <c r="BH359" s="319"/>
      <c r="BI359" s="261"/>
      <c r="BJ359" s="261"/>
      <c r="BK359" s="261"/>
      <c r="BL359" s="261"/>
      <c r="BM359" s="261"/>
      <c r="BN359" s="261"/>
      <c r="BO359" s="261"/>
      <c r="BP359" s="261"/>
      <c r="BQ359" s="261"/>
      <c r="BR359" s="261"/>
      <c r="BS359" s="261"/>
      <c r="BT359" s="261"/>
      <c r="BU359" s="261"/>
      <c r="BV359" s="261"/>
      <c r="BW359" s="261"/>
    </row>
    <row r="360" spans="2:75">
      <c r="B360" s="230"/>
      <c r="C360" s="230"/>
      <c r="D360" s="230"/>
      <c r="E360" s="230"/>
      <c r="F360" s="230"/>
      <c r="G360" s="230"/>
      <c r="H360" s="230"/>
      <c r="I360" s="230"/>
      <c r="J360" s="230"/>
      <c r="K360" s="230"/>
      <c r="L360" s="230"/>
      <c r="M360" s="230"/>
      <c r="N360" s="315"/>
      <c r="O360" s="315"/>
      <c r="P360" s="315"/>
      <c r="Q360" s="315"/>
      <c r="R360" s="315"/>
      <c r="S360" s="315"/>
      <c r="T360" s="315"/>
      <c r="U360" s="315"/>
      <c r="V360" s="315"/>
      <c r="W360" s="315"/>
      <c r="X360" s="315"/>
      <c r="Y360" s="315"/>
      <c r="Z360" s="315"/>
      <c r="AA360" s="315"/>
      <c r="AB360" s="315"/>
      <c r="AC360" s="315"/>
      <c r="AD360" s="315"/>
      <c r="AE360" s="315"/>
      <c r="AF360" s="315"/>
      <c r="AG360" s="315"/>
      <c r="AH360" s="315"/>
      <c r="AI360" s="315"/>
      <c r="AJ360" s="315"/>
      <c r="AK360" s="315"/>
      <c r="AL360" s="315"/>
      <c r="AM360" s="315"/>
      <c r="AN360" s="315"/>
      <c r="AO360" s="315"/>
      <c r="AP360" s="315"/>
      <c r="AQ360" s="320"/>
      <c r="AR360" s="319"/>
      <c r="AS360" s="319"/>
      <c r="AT360" s="319"/>
      <c r="AU360" s="319"/>
      <c r="AV360" s="319"/>
      <c r="AW360" s="319"/>
      <c r="AX360" s="319"/>
      <c r="AY360" s="319"/>
      <c r="AZ360" s="319"/>
      <c r="BA360" s="319"/>
      <c r="BB360" s="319"/>
      <c r="BC360" s="319"/>
      <c r="BD360" s="319"/>
      <c r="BE360" s="319"/>
      <c r="BF360" s="319"/>
      <c r="BG360" s="319"/>
      <c r="BH360" s="319"/>
      <c r="BI360" s="261"/>
      <c r="BJ360" s="261"/>
      <c r="BK360" s="261"/>
      <c r="BL360" s="261"/>
      <c r="BM360" s="261"/>
      <c r="BN360" s="261"/>
      <c r="BO360" s="261"/>
      <c r="BP360" s="261"/>
      <c r="BQ360" s="261"/>
      <c r="BR360" s="261"/>
      <c r="BS360" s="261"/>
      <c r="BT360" s="261"/>
      <c r="BU360" s="261"/>
      <c r="BV360" s="261"/>
      <c r="BW360" s="261"/>
    </row>
    <row r="361" spans="2:75">
      <c r="B361" s="230"/>
      <c r="C361" s="230"/>
      <c r="D361" s="230"/>
      <c r="E361" s="230"/>
      <c r="F361" s="230"/>
      <c r="G361" s="230"/>
      <c r="H361" s="230"/>
      <c r="I361" s="230"/>
      <c r="J361" s="230"/>
      <c r="K361" s="230"/>
      <c r="L361" s="230"/>
      <c r="M361" s="230"/>
      <c r="N361" s="315"/>
      <c r="O361" s="315"/>
      <c r="P361" s="315"/>
      <c r="Q361" s="315"/>
      <c r="R361" s="315"/>
      <c r="S361" s="315"/>
      <c r="T361" s="315"/>
      <c r="U361" s="315"/>
      <c r="V361" s="315"/>
      <c r="W361" s="315"/>
      <c r="X361" s="315"/>
      <c r="Y361" s="315"/>
      <c r="Z361" s="315"/>
      <c r="AA361" s="315"/>
      <c r="AB361" s="315"/>
      <c r="AC361" s="315"/>
      <c r="AD361" s="315"/>
      <c r="AE361" s="315"/>
      <c r="AF361" s="315"/>
      <c r="AG361" s="315"/>
      <c r="AH361" s="315"/>
      <c r="AI361" s="315"/>
      <c r="AJ361" s="315"/>
      <c r="AK361" s="315"/>
      <c r="AL361" s="315"/>
      <c r="AM361" s="315"/>
      <c r="AN361" s="315"/>
      <c r="AO361" s="315"/>
      <c r="AP361" s="315"/>
      <c r="AQ361" s="320"/>
      <c r="AR361" s="319"/>
      <c r="AS361" s="319"/>
      <c r="AT361" s="319"/>
      <c r="AU361" s="319"/>
      <c r="AV361" s="319"/>
      <c r="AW361" s="319"/>
      <c r="AX361" s="319"/>
      <c r="AY361" s="319"/>
      <c r="AZ361" s="319"/>
      <c r="BA361" s="319"/>
      <c r="BB361" s="319"/>
      <c r="BC361" s="319"/>
      <c r="BD361" s="319"/>
      <c r="BE361" s="319"/>
      <c r="BF361" s="319"/>
      <c r="BG361" s="319"/>
      <c r="BH361" s="319"/>
      <c r="BI361" s="261"/>
      <c r="BJ361" s="261"/>
      <c r="BK361" s="261"/>
      <c r="BL361" s="261"/>
      <c r="BM361" s="261"/>
      <c r="BN361" s="261"/>
      <c r="BO361" s="261"/>
      <c r="BP361" s="261"/>
      <c r="BQ361" s="261"/>
      <c r="BR361" s="261"/>
      <c r="BS361" s="261"/>
      <c r="BT361" s="261"/>
      <c r="BU361" s="261"/>
      <c r="BV361" s="261"/>
      <c r="BW361" s="261"/>
    </row>
    <row r="362" spans="2:75">
      <c r="B362" s="230"/>
      <c r="C362" s="230"/>
      <c r="D362" s="230"/>
      <c r="E362" s="230"/>
      <c r="F362" s="230"/>
      <c r="G362" s="230"/>
      <c r="H362" s="230"/>
      <c r="I362" s="230"/>
      <c r="J362" s="230"/>
      <c r="K362" s="230"/>
      <c r="L362" s="230"/>
      <c r="M362" s="230"/>
      <c r="N362" s="315"/>
      <c r="O362" s="315"/>
      <c r="P362" s="315"/>
      <c r="Q362" s="315"/>
      <c r="R362" s="315"/>
      <c r="S362" s="315"/>
      <c r="T362" s="315"/>
      <c r="U362" s="315"/>
      <c r="V362" s="315"/>
      <c r="W362" s="315"/>
      <c r="X362" s="315"/>
      <c r="Y362" s="315"/>
      <c r="Z362" s="315"/>
      <c r="AA362" s="315"/>
      <c r="AB362" s="315"/>
      <c r="AC362" s="315"/>
      <c r="AD362" s="315"/>
      <c r="AE362" s="315"/>
      <c r="AF362" s="315"/>
      <c r="AG362" s="315"/>
      <c r="AH362" s="315"/>
      <c r="AI362" s="315"/>
      <c r="AJ362" s="315"/>
      <c r="AK362" s="315"/>
      <c r="AL362" s="315"/>
      <c r="AM362" s="315"/>
      <c r="AN362" s="315"/>
      <c r="AO362" s="315"/>
      <c r="AP362" s="315"/>
      <c r="AQ362" s="320"/>
      <c r="AR362" s="319"/>
      <c r="AS362" s="319"/>
      <c r="AT362" s="319"/>
      <c r="AU362" s="319"/>
      <c r="AV362" s="319"/>
      <c r="AW362" s="319"/>
      <c r="AX362" s="319"/>
      <c r="AY362" s="319"/>
      <c r="AZ362" s="319"/>
      <c r="BA362" s="319"/>
      <c r="BB362" s="319"/>
      <c r="BC362" s="319"/>
      <c r="BD362" s="319"/>
      <c r="BE362" s="319"/>
      <c r="BF362" s="319"/>
      <c r="BG362" s="319"/>
      <c r="BH362" s="319"/>
      <c r="BI362" s="261"/>
      <c r="BJ362" s="261"/>
      <c r="BK362" s="261"/>
      <c r="BL362" s="261"/>
      <c r="BM362" s="261"/>
      <c r="BN362" s="261"/>
      <c r="BO362" s="261"/>
      <c r="BP362" s="261"/>
      <c r="BQ362" s="261"/>
      <c r="BR362" s="261"/>
      <c r="BS362" s="261"/>
      <c r="BT362" s="261"/>
      <c r="BU362" s="261"/>
      <c r="BV362" s="261"/>
      <c r="BW362" s="261"/>
    </row>
    <row r="363" spans="2:75">
      <c r="B363" s="230"/>
      <c r="C363" s="230"/>
      <c r="D363" s="230"/>
      <c r="E363" s="230"/>
      <c r="F363" s="230"/>
      <c r="G363" s="230"/>
      <c r="H363" s="230"/>
      <c r="I363" s="230"/>
      <c r="J363" s="230"/>
      <c r="K363" s="230"/>
      <c r="L363" s="230"/>
      <c r="M363" s="230"/>
      <c r="N363" s="315"/>
      <c r="O363" s="315"/>
      <c r="P363" s="315"/>
      <c r="Q363" s="315"/>
      <c r="R363" s="315"/>
      <c r="S363" s="315"/>
      <c r="T363" s="315"/>
      <c r="U363" s="315"/>
      <c r="V363" s="315"/>
      <c r="W363" s="315"/>
      <c r="X363" s="315"/>
      <c r="Y363" s="315"/>
      <c r="Z363" s="315"/>
      <c r="AA363" s="315"/>
      <c r="AB363" s="315"/>
      <c r="AC363" s="315"/>
      <c r="AD363" s="315"/>
      <c r="AE363" s="315"/>
      <c r="AF363" s="315"/>
      <c r="AG363" s="315"/>
      <c r="AH363" s="315"/>
      <c r="AI363" s="315"/>
      <c r="AJ363" s="315"/>
      <c r="AK363" s="315"/>
      <c r="AL363" s="315"/>
      <c r="AM363" s="315"/>
      <c r="AN363" s="315"/>
      <c r="AO363" s="315"/>
      <c r="AP363" s="315"/>
      <c r="AQ363" s="320"/>
      <c r="AR363" s="319"/>
      <c r="AS363" s="319"/>
      <c r="AT363" s="319"/>
      <c r="AU363" s="319"/>
      <c r="AV363" s="319"/>
      <c r="AW363" s="319"/>
      <c r="AX363" s="319"/>
      <c r="AY363" s="319"/>
      <c r="AZ363" s="319"/>
      <c r="BA363" s="319"/>
      <c r="BB363" s="319"/>
      <c r="BC363" s="319"/>
      <c r="BD363" s="319"/>
      <c r="BE363" s="319"/>
      <c r="BF363" s="319"/>
      <c r="BG363" s="319"/>
      <c r="BH363" s="319"/>
      <c r="BI363" s="261"/>
      <c r="BJ363" s="261"/>
      <c r="BK363" s="261"/>
      <c r="BL363" s="261"/>
      <c r="BM363" s="261"/>
      <c r="BN363" s="261"/>
      <c r="BO363" s="261"/>
      <c r="BP363" s="261"/>
      <c r="BQ363" s="261"/>
      <c r="BR363" s="261"/>
      <c r="BS363" s="261"/>
      <c r="BT363" s="261"/>
      <c r="BU363" s="261"/>
      <c r="BV363" s="261"/>
      <c r="BW363" s="261"/>
    </row>
    <row r="364" spans="2:75">
      <c r="B364" s="230"/>
      <c r="C364" s="230"/>
      <c r="D364" s="230"/>
      <c r="E364" s="230"/>
      <c r="F364" s="230"/>
      <c r="G364" s="230"/>
      <c r="H364" s="230"/>
      <c r="I364" s="230"/>
      <c r="J364" s="230"/>
      <c r="K364" s="230"/>
      <c r="L364" s="230"/>
      <c r="M364" s="230"/>
      <c r="N364" s="315"/>
      <c r="O364" s="315"/>
      <c r="P364" s="315"/>
      <c r="Q364" s="315"/>
      <c r="R364" s="315"/>
      <c r="S364" s="315"/>
      <c r="T364" s="315"/>
      <c r="U364" s="315"/>
      <c r="V364" s="315"/>
      <c r="W364" s="315"/>
      <c r="X364" s="315"/>
      <c r="Y364" s="315"/>
      <c r="Z364" s="315"/>
      <c r="AA364" s="315"/>
      <c r="AB364" s="315"/>
      <c r="AC364" s="315"/>
      <c r="AD364" s="315"/>
      <c r="AE364" s="315"/>
      <c r="AF364" s="315"/>
      <c r="AG364" s="315"/>
      <c r="AH364" s="315"/>
      <c r="AI364" s="315"/>
      <c r="AJ364" s="315"/>
      <c r="AK364" s="315"/>
      <c r="AL364" s="315"/>
      <c r="AM364" s="315"/>
      <c r="AN364" s="315"/>
      <c r="AO364" s="315"/>
      <c r="AP364" s="315"/>
      <c r="AQ364" s="320"/>
      <c r="AR364" s="319"/>
      <c r="AS364" s="319"/>
      <c r="AT364" s="319"/>
      <c r="AU364" s="319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19"/>
      <c r="BI364" s="261"/>
      <c r="BJ364" s="261"/>
      <c r="BK364" s="261"/>
      <c r="BL364" s="261"/>
      <c r="BM364" s="261"/>
      <c r="BN364" s="261"/>
      <c r="BO364" s="261"/>
      <c r="BP364" s="261"/>
      <c r="BQ364" s="261"/>
      <c r="BR364" s="261"/>
      <c r="BS364" s="261"/>
      <c r="BT364" s="261"/>
      <c r="BU364" s="261"/>
      <c r="BV364" s="261"/>
      <c r="BW364" s="261"/>
    </row>
    <row r="365" spans="2:75">
      <c r="B365" s="230"/>
      <c r="C365" s="230"/>
      <c r="D365" s="230"/>
      <c r="E365" s="230"/>
      <c r="F365" s="230"/>
      <c r="G365" s="230"/>
      <c r="H365" s="230"/>
      <c r="I365" s="230"/>
      <c r="J365" s="230"/>
      <c r="K365" s="230"/>
      <c r="L365" s="230"/>
      <c r="M365" s="230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20"/>
      <c r="AR365" s="319"/>
      <c r="AS365" s="319"/>
      <c r="AT365" s="319"/>
      <c r="AU365" s="319"/>
      <c r="AV365" s="319"/>
      <c r="AW365" s="319"/>
      <c r="AX365" s="319"/>
      <c r="AY365" s="319"/>
      <c r="AZ365" s="319"/>
      <c r="BA365" s="319"/>
      <c r="BB365" s="319"/>
      <c r="BC365" s="319"/>
      <c r="BD365" s="319"/>
      <c r="BE365" s="319"/>
      <c r="BF365" s="319"/>
      <c r="BG365" s="319"/>
      <c r="BH365" s="319"/>
      <c r="BI365" s="261"/>
      <c r="BJ365" s="261"/>
      <c r="BK365" s="261"/>
      <c r="BL365" s="261"/>
      <c r="BM365" s="261"/>
      <c r="BN365" s="261"/>
      <c r="BO365" s="261"/>
      <c r="BP365" s="261"/>
      <c r="BQ365" s="261"/>
      <c r="BR365" s="261"/>
      <c r="BS365" s="261"/>
      <c r="BT365" s="261"/>
      <c r="BU365" s="261"/>
      <c r="BV365" s="261"/>
      <c r="BW365" s="261"/>
    </row>
    <row r="366" spans="2:75">
      <c r="B366" s="230"/>
      <c r="C366" s="230"/>
      <c r="D366" s="230"/>
      <c r="E366" s="230"/>
      <c r="F366" s="230"/>
      <c r="G366" s="230"/>
      <c r="H366" s="230"/>
      <c r="I366" s="230"/>
      <c r="J366" s="230"/>
      <c r="K366" s="230"/>
      <c r="L366" s="230"/>
      <c r="M366" s="230"/>
      <c r="N366" s="315"/>
      <c r="O366" s="315"/>
      <c r="P366" s="315"/>
      <c r="Q366" s="315"/>
      <c r="R366" s="315"/>
      <c r="S366" s="315"/>
      <c r="T366" s="315"/>
      <c r="U366" s="315"/>
      <c r="V366" s="315"/>
      <c r="W366" s="315"/>
      <c r="X366" s="315"/>
      <c r="Y366" s="315"/>
      <c r="Z366" s="315"/>
      <c r="AA366" s="315"/>
      <c r="AB366" s="315"/>
      <c r="AC366" s="315"/>
      <c r="AD366" s="315"/>
      <c r="AE366" s="315"/>
      <c r="AF366" s="315"/>
      <c r="AG366" s="315"/>
      <c r="AH366" s="315"/>
      <c r="AI366" s="315"/>
      <c r="AJ366" s="315"/>
      <c r="AK366" s="315"/>
      <c r="AL366" s="315"/>
      <c r="AM366" s="315"/>
      <c r="AN366" s="315"/>
      <c r="AO366" s="315"/>
      <c r="AP366" s="315"/>
      <c r="AQ366" s="320"/>
      <c r="AR366" s="319"/>
      <c r="AS366" s="319"/>
      <c r="AT366" s="319"/>
      <c r="AU366" s="319"/>
      <c r="AV366" s="319"/>
      <c r="AW366" s="319"/>
      <c r="AX366" s="319"/>
      <c r="AY366" s="319"/>
      <c r="AZ366" s="319"/>
      <c r="BA366" s="319"/>
      <c r="BB366" s="319"/>
      <c r="BC366" s="319"/>
      <c r="BD366" s="319"/>
      <c r="BE366" s="319"/>
      <c r="BF366" s="319"/>
      <c r="BG366" s="319"/>
      <c r="BH366" s="319"/>
      <c r="BI366" s="261"/>
      <c r="BJ366" s="261"/>
      <c r="BK366" s="261"/>
      <c r="BL366" s="261"/>
      <c r="BM366" s="261"/>
      <c r="BN366" s="261"/>
      <c r="BO366" s="261"/>
      <c r="BP366" s="261"/>
      <c r="BQ366" s="261"/>
      <c r="BR366" s="261"/>
      <c r="BS366" s="261"/>
      <c r="BT366" s="261"/>
      <c r="BU366" s="261"/>
      <c r="BV366" s="261"/>
      <c r="BW366" s="261"/>
    </row>
    <row r="367" spans="2:75">
      <c r="B367" s="230"/>
      <c r="C367" s="230"/>
      <c r="D367" s="230"/>
      <c r="E367" s="230"/>
      <c r="F367" s="230"/>
      <c r="G367" s="230"/>
      <c r="H367" s="230"/>
      <c r="I367" s="230"/>
      <c r="J367" s="230"/>
      <c r="K367" s="230"/>
      <c r="L367" s="230"/>
      <c r="M367" s="230"/>
      <c r="N367" s="315"/>
      <c r="O367" s="315"/>
      <c r="P367" s="315"/>
      <c r="Q367" s="315"/>
      <c r="R367" s="315"/>
      <c r="S367" s="315"/>
      <c r="T367" s="315"/>
      <c r="U367" s="315"/>
      <c r="V367" s="315"/>
      <c r="W367" s="315"/>
      <c r="X367" s="315"/>
      <c r="Y367" s="315"/>
      <c r="Z367" s="315"/>
      <c r="AA367" s="315"/>
      <c r="AB367" s="315"/>
      <c r="AC367" s="315"/>
      <c r="AD367" s="315"/>
      <c r="AE367" s="315"/>
      <c r="AF367" s="315"/>
      <c r="AG367" s="315"/>
      <c r="AH367" s="315"/>
      <c r="AI367" s="315"/>
      <c r="AJ367" s="315"/>
      <c r="AK367" s="315"/>
      <c r="AL367" s="315"/>
      <c r="AM367" s="315"/>
      <c r="AN367" s="315"/>
      <c r="AO367" s="315"/>
      <c r="AP367" s="315"/>
      <c r="AQ367" s="320"/>
      <c r="AR367" s="319"/>
      <c r="AS367" s="319"/>
      <c r="AT367" s="319"/>
      <c r="AU367" s="319"/>
      <c r="AV367" s="319"/>
      <c r="AW367" s="319"/>
      <c r="AX367" s="319"/>
      <c r="AY367" s="319"/>
      <c r="AZ367" s="319"/>
      <c r="BA367" s="319"/>
      <c r="BB367" s="319"/>
      <c r="BC367" s="319"/>
      <c r="BD367" s="319"/>
      <c r="BE367" s="319"/>
      <c r="BF367" s="319"/>
      <c r="BG367" s="319"/>
      <c r="BH367" s="319"/>
      <c r="BI367" s="261"/>
      <c r="BJ367" s="261"/>
      <c r="BK367" s="261"/>
      <c r="BL367" s="261"/>
      <c r="BM367" s="261"/>
      <c r="BN367" s="261"/>
      <c r="BO367" s="261"/>
      <c r="BP367" s="261"/>
      <c r="BQ367" s="261"/>
      <c r="BR367" s="261"/>
      <c r="BS367" s="261"/>
      <c r="BT367" s="261"/>
      <c r="BU367" s="261"/>
      <c r="BV367" s="261"/>
      <c r="BW367" s="261"/>
    </row>
    <row r="368" spans="2:75">
      <c r="B368" s="230"/>
      <c r="C368" s="230"/>
      <c r="D368" s="230"/>
      <c r="E368" s="230"/>
      <c r="F368" s="230"/>
      <c r="G368" s="230"/>
      <c r="H368" s="230"/>
      <c r="I368" s="230"/>
      <c r="J368" s="230"/>
      <c r="K368" s="230"/>
      <c r="L368" s="230"/>
      <c r="M368" s="230"/>
      <c r="N368" s="315"/>
      <c r="O368" s="315"/>
      <c r="P368" s="315"/>
      <c r="Q368" s="315"/>
      <c r="R368" s="315"/>
      <c r="S368" s="315"/>
      <c r="T368" s="315"/>
      <c r="U368" s="315"/>
      <c r="V368" s="315"/>
      <c r="W368" s="315"/>
      <c r="X368" s="315"/>
      <c r="Y368" s="315"/>
      <c r="Z368" s="315"/>
      <c r="AA368" s="315"/>
      <c r="AB368" s="315"/>
      <c r="AC368" s="315"/>
      <c r="AD368" s="315"/>
      <c r="AE368" s="315"/>
      <c r="AF368" s="315"/>
      <c r="AG368" s="315"/>
      <c r="AH368" s="315"/>
      <c r="AI368" s="315"/>
      <c r="AJ368" s="315"/>
      <c r="AK368" s="315"/>
      <c r="AL368" s="315"/>
      <c r="AM368" s="315"/>
      <c r="AN368" s="315"/>
      <c r="AO368" s="315"/>
      <c r="AP368" s="315"/>
      <c r="AQ368" s="320"/>
      <c r="AR368" s="319"/>
      <c r="AS368" s="319"/>
      <c r="AT368" s="319"/>
      <c r="AU368" s="319"/>
      <c r="AV368" s="319"/>
      <c r="AW368" s="319"/>
      <c r="AX368" s="319"/>
      <c r="AY368" s="319"/>
      <c r="AZ368" s="319"/>
      <c r="BA368" s="319"/>
      <c r="BB368" s="319"/>
      <c r="BC368" s="319"/>
      <c r="BD368" s="319"/>
      <c r="BE368" s="319"/>
      <c r="BF368" s="319"/>
      <c r="BG368" s="319"/>
      <c r="BH368" s="319"/>
      <c r="BI368" s="261"/>
      <c r="BJ368" s="261"/>
      <c r="BK368" s="261"/>
      <c r="BL368" s="261"/>
      <c r="BM368" s="261"/>
      <c r="BN368" s="261"/>
      <c r="BO368" s="261"/>
      <c r="BP368" s="261"/>
      <c r="BQ368" s="261"/>
      <c r="BR368" s="261"/>
      <c r="BS368" s="261"/>
      <c r="BT368" s="261"/>
      <c r="BU368" s="261"/>
      <c r="BV368" s="261"/>
      <c r="BW368" s="261"/>
    </row>
    <row r="369" spans="2:75">
      <c r="B369" s="230"/>
      <c r="C369" s="230"/>
      <c r="D369" s="230"/>
      <c r="E369" s="230"/>
      <c r="F369" s="230"/>
      <c r="G369" s="230"/>
      <c r="H369" s="230"/>
      <c r="I369" s="230"/>
      <c r="J369" s="230"/>
      <c r="K369" s="230"/>
      <c r="L369" s="230"/>
      <c r="M369" s="230"/>
      <c r="N369" s="315"/>
      <c r="O369" s="315"/>
      <c r="P369" s="315"/>
      <c r="Q369" s="315"/>
      <c r="R369" s="315"/>
      <c r="S369" s="315"/>
      <c r="T369" s="315"/>
      <c r="U369" s="315"/>
      <c r="V369" s="315"/>
      <c r="W369" s="315"/>
      <c r="X369" s="315"/>
      <c r="Y369" s="315"/>
      <c r="Z369" s="315"/>
      <c r="AA369" s="315"/>
      <c r="AB369" s="315"/>
      <c r="AC369" s="315"/>
      <c r="AD369" s="315"/>
      <c r="AE369" s="315"/>
      <c r="AF369" s="315"/>
      <c r="AG369" s="315"/>
      <c r="AH369" s="315"/>
      <c r="AI369" s="315"/>
      <c r="AJ369" s="315"/>
      <c r="AK369" s="315"/>
      <c r="AL369" s="315"/>
      <c r="AM369" s="315"/>
      <c r="AN369" s="315"/>
      <c r="AO369" s="315"/>
      <c r="AP369" s="315"/>
      <c r="AQ369" s="320"/>
      <c r="AR369" s="319"/>
      <c r="AS369" s="319"/>
      <c r="AT369" s="319"/>
      <c r="AU369" s="319"/>
      <c r="AV369" s="319"/>
      <c r="AW369" s="319"/>
      <c r="AX369" s="319"/>
      <c r="AY369" s="319"/>
      <c r="AZ369" s="319"/>
      <c r="BA369" s="319"/>
      <c r="BB369" s="319"/>
      <c r="BC369" s="319"/>
      <c r="BD369" s="319"/>
      <c r="BE369" s="319"/>
      <c r="BF369" s="319"/>
      <c r="BG369" s="319"/>
      <c r="BH369" s="319"/>
      <c r="BI369" s="261"/>
      <c r="BJ369" s="261"/>
      <c r="BK369" s="261"/>
      <c r="BL369" s="261"/>
      <c r="BM369" s="261"/>
      <c r="BN369" s="261"/>
      <c r="BO369" s="261"/>
      <c r="BP369" s="261"/>
      <c r="BQ369" s="261"/>
      <c r="BR369" s="261"/>
      <c r="BS369" s="261"/>
      <c r="BT369" s="261"/>
      <c r="BU369" s="261"/>
      <c r="BV369" s="261"/>
      <c r="BW369" s="261"/>
    </row>
    <row r="370" spans="2:75">
      <c r="B370" s="230"/>
      <c r="C370" s="230"/>
      <c r="D370" s="230"/>
      <c r="E370" s="230"/>
      <c r="F370" s="230"/>
      <c r="G370" s="230"/>
      <c r="H370" s="230"/>
      <c r="I370" s="230"/>
      <c r="J370" s="230"/>
      <c r="K370" s="230"/>
      <c r="L370" s="230"/>
      <c r="M370" s="230"/>
      <c r="N370" s="315"/>
      <c r="O370" s="315"/>
      <c r="P370" s="315"/>
      <c r="Q370" s="315"/>
      <c r="R370" s="315"/>
      <c r="S370" s="315"/>
      <c r="T370" s="315"/>
      <c r="U370" s="315"/>
      <c r="V370" s="315"/>
      <c r="W370" s="315"/>
      <c r="X370" s="315"/>
      <c r="Y370" s="315"/>
      <c r="Z370" s="315"/>
      <c r="AA370" s="315"/>
      <c r="AB370" s="315"/>
      <c r="AC370" s="315"/>
      <c r="AD370" s="315"/>
      <c r="AE370" s="315"/>
      <c r="AF370" s="315"/>
      <c r="AG370" s="315"/>
      <c r="AH370" s="315"/>
      <c r="AI370" s="315"/>
      <c r="AJ370" s="315"/>
      <c r="AK370" s="315"/>
      <c r="AL370" s="315"/>
      <c r="AM370" s="315"/>
      <c r="AN370" s="315"/>
      <c r="AO370" s="315"/>
      <c r="AP370" s="315"/>
      <c r="AQ370" s="320"/>
      <c r="AR370" s="319"/>
      <c r="AS370" s="319"/>
      <c r="AT370" s="319"/>
      <c r="AU370" s="319"/>
      <c r="AV370" s="319"/>
      <c r="AW370" s="319"/>
      <c r="AX370" s="319"/>
      <c r="AY370" s="319"/>
      <c r="AZ370" s="319"/>
      <c r="BA370" s="319"/>
      <c r="BB370" s="319"/>
      <c r="BC370" s="319"/>
      <c r="BD370" s="319"/>
      <c r="BE370" s="319"/>
      <c r="BF370" s="319"/>
      <c r="BG370" s="319"/>
      <c r="BH370" s="319"/>
      <c r="BI370" s="261"/>
      <c r="BJ370" s="261"/>
      <c r="BK370" s="261"/>
      <c r="BL370" s="261"/>
      <c r="BM370" s="261"/>
      <c r="BN370" s="261"/>
      <c r="BO370" s="261"/>
      <c r="BP370" s="261"/>
      <c r="BQ370" s="261"/>
      <c r="BR370" s="261"/>
      <c r="BS370" s="261"/>
      <c r="BT370" s="261"/>
      <c r="BU370" s="261"/>
      <c r="BV370" s="261"/>
      <c r="BW370" s="261"/>
    </row>
    <row r="371" spans="2:75">
      <c r="B371" s="230"/>
      <c r="C371" s="230"/>
      <c r="D371" s="230"/>
      <c r="E371" s="230"/>
      <c r="F371" s="230"/>
      <c r="G371" s="230"/>
      <c r="H371" s="230"/>
      <c r="I371" s="230"/>
      <c r="J371" s="230"/>
      <c r="K371" s="230"/>
      <c r="L371" s="230"/>
      <c r="M371" s="230"/>
      <c r="N371" s="315"/>
      <c r="O371" s="315"/>
      <c r="P371" s="315"/>
      <c r="Q371" s="315"/>
      <c r="R371" s="315"/>
      <c r="S371" s="315"/>
      <c r="T371" s="315"/>
      <c r="U371" s="315"/>
      <c r="V371" s="315"/>
      <c r="W371" s="315"/>
      <c r="X371" s="315"/>
      <c r="Y371" s="315"/>
      <c r="Z371" s="315"/>
      <c r="AA371" s="315"/>
      <c r="AB371" s="315"/>
      <c r="AC371" s="315"/>
      <c r="AD371" s="315"/>
      <c r="AE371" s="315"/>
      <c r="AF371" s="315"/>
      <c r="AG371" s="315"/>
      <c r="AH371" s="315"/>
      <c r="AI371" s="315"/>
      <c r="AJ371" s="315"/>
      <c r="AK371" s="315"/>
      <c r="AL371" s="315"/>
      <c r="AM371" s="315"/>
      <c r="AN371" s="315"/>
      <c r="AO371" s="315"/>
      <c r="AP371" s="315"/>
      <c r="AQ371" s="320"/>
      <c r="AR371" s="319"/>
      <c r="AS371" s="319"/>
      <c r="AT371" s="319"/>
      <c r="AU371" s="319"/>
      <c r="AV371" s="319"/>
      <c r="AW371" s="319"/>
      <c r="AX371" s="319"/>
      <c r="AY371" s="319"/>
      <c r="AZ371" s="319"/>
      <c r="BA371" s="319"/>
      <c r="BB371" s="319"/>
      <c r="BC371" s="319"/>
      <c r="BD371" s="319"/>
      <c r="BE371" s="319"/>
      <c r="BF371" s="319"/>
      <c r="BG371" s="319"/>
      <c r="BH371" s="319"/>
      <c r="BI371" s="261"/>
      <c r="BJ371" s="261"/>
      <c r="BK371" s="261"/>
      <c r="BL371" s="261"/>
      <c r="BM371" s="261"/>
      <c r="BN371" s="261"/>
      <c r="BO371" s="261"/>
      <c r="BP371" s="261"/>
      <c r="BQ371" s="261"/>
      <c r="BR371" s="261"/>
      <c r="BS371" s="261"/>
      <c r="BT371" s="261"/>
      <c r="BU371" s="261"/>
      <c r="BV371" s="261"/>
      <c r="BW371" s="261"/>
    </row>
    <row r="372" spans="2:75">
      <c r="B372" s="230"/>
      <c r="C372" s="230"/>
      <c r="D372" s="230"/>
      <c r="E372" s="230"/>
      <c r="F372" s="230"/>
      <c r="G372" s="230"/>
      <c r="H372" s="230"/>
      <c r="I372" s="230"/>
      <c r="J372" s="230"/>
      <c r="K372" s="230"/>
      <c r="L372" s="230"/>
      <c r="M372" s="230"/>
      <c r="N372" s="315"/>
      <c r="O372" s="315"/>
      <c r="P372" s="315"/>
      <c r="Q372" s="315"/>
      <c r="R372" s="315"/>
      <c r="S372" s="315"/>
      <c r="T372" s="315"/>
      <c r="U372" s="315"/>
      <c r="V372" s="315"/>
      <c r="W372" s="315"/>
      <c r="X372" s="315"/>
      <c r="Y372" s="315"/>
      <c r="Z372" s="315"/>
      <c r="AA372" s="315"/>
      <c r="AB372" s="315"/>
      <c r="AC372" s="315"/>
      <c r="AD372" s="315"/>
      <c r="AE372" s="315"/>
      <c r="AF372" s="315"/>
      <c r="AG372" s="315"/>
      <c r="AH372" s="315"/>
      <c r="AI372" s="315"/>
      <c r="AJ372" s="315"/>
      <c r="AK372" s="315"/>
      <c r="AL372" s="315"/>
      <c r="AM372" s="315"/>
      <c r="AN372" s="315"/>
      <c r="AO372" s="315"/>
      <c r="AP372" s="315"/>
      <c r="AQ372" s="320"/>
      <c r="AR372" s="319"/>
      <c r="AS372" s="319"/>
      <c r="AT372" s="319"/>
      <c r="AU372" s="319"/>
      <c r="AV372" s="319"/>
      <c r="AW372" s="319"/>
      <c r="AX372" s="319"/>
      <c r="AY372" s="319"/>
      <c r="AZ372" s="319"/>
      <c r="BA372" s="319"/>
      <c r="BB372" s="319"/>
      <c r="BC372" s="319"/>
      <c r="BD372" s="319"/>
      <c r="BE372" s="319"/>
      <c r="BF372" s="319"/>
      <c r="BG372" s="319"/>
      <c r="BH372" s="319"/>
      <c r="BI372" s="261"/>
      <c r="BJ372" s="261"/>
      <c r="BK372" s="261"/>
      <c r="BL372" s="261"/>
      <c r="BM372" s="261"/>
      <c r="BN372" s="261"/>
      <c r="BO372" s="261"/>
      <c r="BP372" s="261"/>
      <c r="BQ372" s="261"/>
      <c r="BR372" s="261"/>
      <c r="BS372" s="261"/>
      <c r="BT372" s="261"/>
      <c r="BU372" s="261"/>
      <c r="BV372" s="261"/>
      <c r="BW372" s="261"/>
    </row>
    <row r="373" spans="2:75">
      <c r="B373" s="230"/>
      <c r="C373" s="230"/>
      <c r="D373" s="230"/>
      <c r="E373" s="230"/>
      <c r="F373" s="230"/>
      <c r="G373" s="230"/>
      <c r="H373" s="230"/>
      <c r="I373" s="230"/>
      <c r="J373" s="230"/>
      <c r="K373" s="230"/>
      <c r="L373" s="230"/>
      <c r="M373" s="230"/>
      <c r="N373" s="315"/>
      <c r="O373" s="315"/>
      <c r="P373" s="315"/>
      <c r="Q373" s="315"/>
      <c r="R373" s="315"/>
      <c r="S373" s="315"/>
      <c r="T373" s="315"/>
      <c r="U373" s="315"/>
      <c r="V373" s="315"/>
      <c r="W373" s="315"/>
      <c r="X373" s="315"/>
      <c r="Y373" s="315"/>
      <c r="Z373" s="315"/>
      <c r="AA373" s="315"/>
      <c r="AB373" s="315"/>
      <c r="AC373" s="315"/>
      <c r="AD373" s="315"/>
      <c r="AE373" s="315"/>
      <c r="AF373" s="315"/>
      <c r="AG373" s="315"/>
      <c r="AH373" s="315"/>
      <c r="AI373" s="315"/>
      <c r="AJ373" s="315"/>
      <c r="AK373" s="315"/>
      <c r="AL373" s="315"/>
      <c r="AM373" s="315"/>
      <c r="AN373" s="315"/>
      <c r="AO373" s="315"/>
      <c r="AP373" s="315"/>
      <c r="AQ373" s="320"/>
      <c r="AR373" s="319"/>
      <c r="AS373" s="319"/>
      <c r="AT373" s="319"/>
      <c r="AU373" s="319"/>
      <c r="AV373" s="319"/>
      <c r="AW373" s="319"/>
      <c r="AX373" s="319"/>
      <c r="AY373" s="319"/>
      <c r="AZ373" s="319"/>
      <c r="BA373" s="319"/>
      <c r="BB373" s="319"/>
      <c r="BC373" s="319"/>
      <c r="BD373" s="319"/>
      <c r="BE373" s="319"/>
      <c r="BF373" s="319"/>
      <c r="BG373" s="319"/>
      <c r="BH373" s="319"/>
      <c r="BI373" s="261"/>
      <c r="BJ373" s="261"/>
      <c r="BK373" s="261"/>
      <c r="BL373" s="261"/>
      <c r="BM373" s="261"/>
      <c r="BN373" s="261"/>
      <c r="BO373" s="261"/>
      <c r="BP373" s="261"/>
      <c r="BQ373" s="261"/>
      <c r="BR373" s="261"/>
      <c r="BS373" s="261"/>
      <c r="BT373" s="261"/>
      <c r="BU373" s="261"/>
      <c r="BV373" s="261"/>
      <c r="BW373" s="261"/>
    </row>
    <row r="374" spans="2:75">
      <c r="B374" s="230"/>
      <c r="C374" s="230"/>
      <c r="D374" s="230"/>
      <c r="E374" s="230"/>
      <c r="F374" s="230"/>
      <c r="G374" s="230"/>
      <c r="H374" s="230"/>
      <c r="I374" s="230"/>
      <c r="J374" s="230"/>
      <c r="K374" s="230"/>
      <c r="L374" s="230"/>
      <c r="M374" s="230"/>
      <c r="N374" s="315"/>
      <c r="O374" s="315"/>
      <c r="P374" s="315"/>
      <c r="Q374" s="315"/>
      <c r="R374" s="315"/>
      <c r="S374" s="315"/>
      <c r="T374" s="315"/>
      <c r="U374" s="315"/>
      <c r="V374" s="315"/>
      <c r="W374" s="315"/>
      <c r="X374" s="315"/>
      <c r="Y374" s="315"/>
      <c r="Z374" s="315"/>
      <c r="AA374" s="315"/>
      <c r="AB374" s="315"/>
      <c r="AC374" s="315"/>
      <c r="AD374" s="315"/>
      <c r="AE374" s="315"/>
      <c r="AF374" s="315"/>
      <c r="AG374" s="315"/>
      <c r="AH374" s="315"/>
      <c r="AI374" s="315"/>
      <c r="AJ374" s="315"/>
      <c r="AK374" s="315"/>
      <c r="AL374" s="315"/>
      <c r="AM374" s="315"/>
      <c r="AN374" s="315"/>
      <c r="AO374" s="315"/>
      <c r="AP374" s="315"/>
      <c r="AQ374" s="320"/>
      <c r="AR374" s="319"/>
      <c r="AS374" s="319"/>
      <c r="AT374" s="319"/>
      <c r="AU374" s="319"/>
      <c r="AV374" s="319"/>
      <c r="AW374" s="319"/>
      <c r="AX374" s="319"/>
      <c r="AY374" s="319"/>
      <c r="AZ374" s="319"/>
      <c r="BA374" s="319"/>
      <c r="BB374" s="319"/>
      <c r="BC374" s="319"/>
      <c r="BD374" s="319"/>
      <c r="BE374" s="319"/>
      <c r="BF374" s="319"/>
      <c r="BG374" s="319"/>
      <c r="BH374" s="319"/>
      <c r="BI374" s="261"/>
      <c r="BJ374" s="261"/>
      <c r="BK374" s="261"/>
      <c r="BL374" s="261"/>
      <c r="BM374" s="261"/>
      <c r="BN374" s="261"/>
      <c r="BO374" s="261"/>
      <c r="BP374" s="261"/>
      <c r="BQ374" s="261"/>
      <c r="BR374" s="261"/>
      <c r="BS374" s="261"/>
      <c r="BT374" s="261"/>
      <c r="BU374" s="261"/>
      <c r="BV374" s="261"/>
      <c r="BW374" s="261"/>
    </row>
    <row r="375" spans="2:75">
      <c r="B375" s="230"/>
      <c r="C375" s="230"/>
      <c r="D375" s="230"/>
      <c r="E375" s="230"/>
      <c r="F375" s="230"/>
      <c r="G375" s="230"/>
      <c r="H375" s="230"/>
      <c r="I375" s="230"/>
      <c r="J375" s="230"/>
      <c r="K375" s="230"/>
      <c r="L375" s="230"/>
      <c r="M375" s="230"/>
      <c r="N375" s="315"/>
      <c r="O375" s="315"/>
      <c r="P375" s="315"/>
      <c r="Q375" s="315"/>
      <c r="R375" s="315"/>
      <c r="S375" s="315"/>
      <c r="T375" s="315"/>
      <c r="U375" s="315"/>
      <c r="V375" s="315"/>
      <c r="W375" s="315"/>
      <c r="X375" s="315"/>
      <c r="Y375" s="315"/>
      <c r="Z375" s="315"/>
      <c r="AA375" s="315"/>
      <c r="AB375" s="315"/>
      <c r="AC375" s="315"/>
      <c r="AD375" s="315"/>
      <c r="AE375" s="315"/>
      <c r="AF375" s="315"/>
      <c r="AG375" s="315"/>
      <c r="AH375" s="315"/>
      <c r="AI375" s="315"/>
      <c r="AJ375" s="315"/>
      <c r="AK375" s="315"/>
      <c r="AL375" s="315"/>
      <c r="AM375" s="315"/>
      <c r="AN375" s="315"/>
      <c r="AO375" s="315"/>
      <c r="AP375" s="315"/>
      <c r="AQ375" s="320"/>
      <c r="AR375" s="319"/>
      <c r="AS375" s="319"/>
      <c r="AT375" s="319"/>
      <c r="AU375" s="319"/>
      <c r="AV375" s="319"/>
      <c r="AW375" s="319"/>
      <c r="AX375" s="319"/>
      <c r="AY375" s="319"/>
      <c r="AZ375" s="319"/>
      <c r="BA375" s="319"/>
      <c r="BB375" s="319"/>
      <c r="BC375" s="319"/>
      <c r="BD375" s="319"/>
      <c r="BE375" s="319"/>
      <c r="BF375" s="319"/>
      <c r="BG375" s="319"/>
      <c r="BH375" s="319"/>
      <c r="BI375" s="261"/>
      <c r="BJ375" s="261"/>
      <c r="BK375" s="261"/>
      <c r="BL375" s="261"/>
      <c r="BM375" s="261"/>
      <c r="BN375" s="261"/>
      <c r="BO375" s="261"/>
      <c r="BP375" s="261"/>
      <c r="BQ375" s="261"/>
      <c r="BR375" s="261"/>
      <c r="BS375" s="261"/>
      <c r="BT375" s="261"/>
      <c r="BU375" s="261"/>
      <c r="BV375" s="261"/>
      <c r="BW375" s="261"/>
    </row>
    <row r="376" spans="2:75">
      <c r="B376" s="230"/>
      <c r="C376" s="230"/>
      <c r="D376" s="230"/>
      <c r="E376" s="230"/>
      <c r="F376" s="230"/>
      <c r="G376" s="230"/>
      <c r="H376" s="230"/>
      <c r="I376" s="230"/>
      <c r="J376" s="230"/>
      <c r="K376" s="230"/>
      <c r="L376" s="230"/>
      <c r="M376" s="230"/>
      <c r="N376" s="315"/>
      <c r="O376" s="315"/>
      <c r="P376" s="315"/>
      <c r="Q376" s="315"/>
      <c r="R376" s="315"/>
      <c r="S376" s="315"/>
      <c r="T376" s="315"/>
      <c r="U376" s="315"/>
      <c r="V376" s="315"/>
      <c r="W376" s="315"/>
      <c r="X376" s="315"/>
      <c r="Y376" s="315"/>
      <c r="Z376" s="315"/>
      <c r="AA376" s="315"/>
      <c r="AB376" s="315"/>
      <c r="AC376" s="315"/>
      <c r="AD376" s="315"/>
      <c r="AE376" s="315"/>
      <c r="AF376" s="315"/>
      <c r="AG376" s="315"/>
      <c r="AH376" s="315"/>
      <c r="AI376" s="315"/>
      <c r="AJ376" s="315"/>
      <c r="AK376" s="315"/>
      <c r="AL376" s="315"/>
      <c r="AM376" s="315"/>
      <c r="AN376" s="315"/>
      <c r="AO376" s="315"/>
      <c r="AP376" s="315"/>
      <c r="AQ376" s="320"/>
      <c r="AR376" s="319"/>
      <c r="AS376" s="319"/>
      <c r="AT376" s="319"/>
      <c r="AU376" s="319"/>
      <c r="AV376" s="319"/>
      <c r="AW376" s="319"/>
      <c r="AX376" s="319"/>
      <c r="AY376" s="319"/>
      <c r="AZ376" s="319"/>
      <c r="BA376" s="319"/>
      <c r="BB376" s="319"/>
      <c r="BC376" s="319"/>
      <c r="BD376" s="319"/>
      <c r="BE376" s="319"/>
      <c r="BF376" s="319"/>
      <c r="BG376" s="319"/>
      <c r="BH376" s="319"/>
      <c r="BI376" s="261"/>
      <c r="BJ376" s="261"/>
      <c r="BK376" s="261"/>
      <c r="BL376" s="261"/>
      <c r="BM376" s="261"/>
      <c r="BN376" s="261"/>
      <c r="BO376" s="261"/>
      <c r="BP376" s="261"/>
      <c r="BQ376" s="261"/>
      <c r="BR376" s="261"/>
      <c r="BS376" s="261"/>
      <c r="BT376" s="261"/>
      <c r="BU376" s="261"/>
      <c r="BV376" s="261"/>
      <c r="BW376" s="261"/>
    </row>
    <row r="377" spans="2:75">
      <c r="B377" s="230"/>
      <c r="C377" s="230"/>
      <c r="D377" s="230"/>
      <c r="E377" s="230"/>
      <c r="F377" s="230"/>
      <c r="G377" s="230"/>
      <c r="H377" s="230"/>
      <c r="I377" s="230"/>
      <c r="J377" s="230"/>
      <c r="K377" s="230"/>
      <c r="L377" s="230"/>
      <c r="M377" s="230"/>
      <c r="N377" s="315"/>
      <c r="O377" s="315"/>
      <c r="P377" s="315"/>
      <c r="Q377" s="315"/>
      <c r="R377" s="315"/>
      <c r="S377" s="315"/>
      <c r="T377" s="315"/>
      <c r="U377" s="315"/>
      <c r="V377" s="315"/>
      <c r="W377" s="315"/>
      <c r="X377" s="315"/>
      <c r="Y377" s="315"/>
      <c r="Z377" s="315"/>
      <c r="AA377" s="315"/>
      <c r="AB377" s="315"/>
      <c r="AC377" s="315"/>
      <c r="AD377" s="315"/>
      <c r="AE377" s="315"/>
      <c r="AF377" s="315"/>
      <c r="AG377" s="315"/>
      <c r="AH377" s="315"/>
      <c r="AI377" s="315"/>
      <c r="AJ377" s="315"/>
      <c r="AK377" s="315"/>
      <c r="AL377" s="315"/>
      <c r="AM377" s="315"/>
      <c r="AN377" s="315"/>
      <c r="AO377" s="315"/>
      <c r="AP377" s="315"/>
      <c r="AQ377" s="320"/>
      <c r="AR377" s="319"/>
      <c r="AS377" s="319"/>
      <c r="AT377" s="319"/>
      <c r="AU377" s="319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19"/>
      <c r="BI377" s="261"/>
      <c r="BJ377" s="261"/>
      <c r="BK377" s="261"/>
      <c r="BL377" s="261"/>
      <c r="BM377" s="261"/>
      <c r="BN377" s="261"/>
      <c r="BO377" s="261"/>
      <c r="BP377" s="261"/>
      <c r="BQ377" s="261"/>
      <c r="BR377" s="261"/>
      <c r="BS377" s="261"/>
      <c r="BT377" s="261"/>
      <c r="BU377" s="261"/>
      <c r="BV377" s="261"/>
      <c r="BW377" s="261"/>
    </row>
    <row r="378" spans="2:75">
      <c r="B378" s="230"/>
      <c r="C378" s="230"/>
      <c r="D378" s="230"/>
      <c r="E378" s="230"/>
      <c r="F378" s="230"/>
      <c r="G378" s="230"/>
      <c r="H378" s="230"/>
      <c r="I378" s="230"/>
      <c r="J378" s="230"/>
      <c r="K378" s="230"/>
      <c r="L378" s="230"/>
      <c r="M378" s="230"/>
      <c r="N378" s="315"/>
      <c r="O378" s="315"/>
      <c r="P378" s="315"/>
      <c r="Q378" s="315"/>
      <c r="R378" s="315"/>
      <c r="S378" s="315"/>
      <c r="T378" s="315"/>
      <c r="U378" s="315"/>
      <c r="V378" s="315"/>
      <c r="W378" s="315"/>
      <c r="X378" s="315"/>
      <c r="Y378" s="315"/>
      <c r="Z378" s="315"/>
      <c r="AA378" s="315"/>
      <c r="AB378" s="315"/>
      <c r="AC378" s="315"/>
      <c r="AD378" s="315"/>
      <c r="AE378" s="315"/>
      <c r="AF378" s="315"/>
      <c r="AG378" s="315"/>
      <c r="AH378" s="315"/>
      <c r="AI378" s="315"/>
      <c r="AJ378" s="315"/>
      <c r="AK378" s="315"/>
      <c r="AL378" s="315"/>
      <c r="AM378" s="315"/>
      <c r="AN378" s="315"/>
      <c r="AO378" s="315"/>
      <c r="AP378" s="315"/>
      <c r="AQ378" s="320"/>
      <c r="AR378" s="319"/>
      <c r="AS378" s="319"/>
      <c r="AT378" s="319"/>
      <c r="AU378" s="319"/>
      <c r="AV378" s="319"/>
      <c r="AW378" s="319"/>
      <c r="AX378" s="319"/>
      <c r="AY378" s="319"/>
      <c r="AZ378" s="319"/>
      <c r="BA378" s="319"/>
      <c r="BB378" s="319"/>
      <c r="BC378" s="319"/>
      <c r="BD378" s="319"/>
      <c r="BE378" s="319"/>
      <c r="BF378" s="319"/>
      <c r="BG378" s="319"/>
      <c r="BH378" s="319"/>
      <c r="BI378" s="261"/>
      <c r="BJ378" s="261"/>
      <c r="BK378" s="261"/>
      <c r="BL378" s="261"/>
      <c r="BM378" s="261"/>
      <c r="BN378" s="261"/>
      <c r="BO378" s="261"/>
      <c r="BP378" s="261"/>
      <c r="BQ378" s="261"/>
      <c r="BR378" s="261"/>
      <c r="BS378" s="261"/>
      <c r="BT378" s="261"/>
      <c r="BU378" s="261"/>
      <c r="BV378" s="261"/>
      <c r="BW378" s="261"/>
    </row>
    <row r="379" spans="2:75">
      <c r="B379" s="230"/>
      <c r="C379" s="230"/>
      <c r="D379" s="230"/>
      <c r="E379" s="230"/>
      <c r="F379" s="230"/>
      <c r="G379" s="230"/>
      <c r="H379" s="230"/>
      <c r="I379" s="230"/>
      <c r="J379" s="230"/>
      <c r="K379" s="230"/>
      <c r="L379" s="230"/>
      <c r="M379" s="230"/>
      <c r="N379" s="315"/>
      <c r="O379" s="315"/>
      <c r="P379" s="315"/>
      <c r="Q379" s="315"/>
      <c r="R379" s="315"/>
      <c r="S379" s="315"/>
      <c r="T379" s="315"/>
      <c r="U379" s="315"/>
      <c r="V379" s="315"/>
      <c r="W379" s="315"/>
      <c r="X379" s="315"/>
      <c r="Y379" s="315"/>
      <c r="Z379" s="315"/>
      <c r="AA379" s="315"/>
      <c r="AB379" s="315"/>
      <c r="AC379" s="315"/>
      <c r="AD379" s="315"/>
      <c r="AE379" s="315"/>
      <c r="AF379" s="315"/>
      <c r="AG379" s="315"/>
      <c r="AH379" s="315"/>
      <c r="AI379" s="315"/>
      <c r="AJ379" s="315"/>
      <c r="AK379" s="315"/>
      <c r="AL379" s="315"/>
      <c r="AM379" s="315"/>
      <c r="AN379" s="315"/>
      <c r="AO379" s="315"/>
      <c r="AP379" s="315"/>
      <c r="AQ379" s="320"/>
      <c r="AR379" s="319"/>
      <c r="AS379" s="319"/>
      <c r="AT379" s="319"/>
      <c r="AU379" s="319"/>
      <c r="AV379" s="319"/>
      <c r="AW379" s="319"/>
      <c r="AX379" s="319"/>
      <c r="AY379" s="319"/>
      <c r="AZ379" s="319"/>
      <c r="BA379" s="319"/>
      <c r="BB379" s="319"/>
      <c r="BC379" s="319"/>
      <c r="BD379" s="319"/>
      <c r="BE379" s="319"/>
      <c r="BF379" s="319"/>
      <c r="BG379" s="319"/>
      <c r="BH379" s="319"/>
      <c r="BI379" s="261"/>
      <c r="BJ379" s="261"/>
      <c r="BK379" s="261"/>
      <c r="BL379" s="261"/>
      <c r="BM379" s="261"/>
      <c r="BN379" s="261"/>
      <c r="BO379" s="261"/>
      <c r="BP379" s="261"/>
      <c r="BQ379" s="261"/>
      <c r="BR379" s="261"/>
      <c r="BS379" s="261"/>
      <c r="BT379" s="261"/>
      <c r="BU379" s="261"/>
      <c r="BV379" s="261"/>
      <c r="BW379" s="261"/>
    </row>
    <row r="380" spans="2:75">
      <c r="B380" s="230"/>
      <c r="C380" s="230"/>
      <c r="D380" s="230"/>
      <c r="E380" s="230"/>
      <c r="F380" s="230"/>
      <c r="G380" s="230"/>
      <c r="H380" s="230"/>
      <c r="I380" s="230"/>
      <c r="J380" s="230"/>
      <c r="K380" s="230"/>
      <c r="L380" s="230"/>
      <c r="M380" s="230"/>
      <c r="N380" s="315"/>
      <c r="O380" s="315"/>
      <c r="P380" s="315"/>
      <c r="Q380" s="315"/>
      <c r="R380" s="315"/>
      <c r="S380" s="315"/>
      <c r="T380" s="315"/>
      <c r="U380" s="315"/>
      <c r="V380" s="315"/>
      <c r="W380" s="315"/>
      <c r="X380" s="315"/>
      <c r="Y380" s="315"/>
      <c r="Z380" s="315"/>
      <c r="AA380" s="315"/>
      <c r="AB380" s="315"/>
      <c r="AC380" s="315"/>
      <c r="AD380" s="315"/>
      <c r="AE380" s="315"/>
      <c r="AF380" s="315"/>
      <c r="AG380" s="315"/>
      <c r="AH380" s="315"/>
      <c r="AI380" s="315"/>
      <c r="AJ380" s="315"/>
      <c r="AK380" s="315"/>
      <c r="AL380" s="315"/>
      <c r="AM380" s="315"/>
      <c r="AN380" s="315"/>
      <c r="AO380" s="315"/>
      <c r="AP380" s="315"/>
      <c r="AQ380" s="320"/>
      <c r="AR380" s="319"/>
      <c r="AS380" s="319"/>
      <c r="AT380" s="319"/>
      <c r="AU380" s="319"/>
      <c r="AV380" s="319"/>
      <c r="AW380" s="319"/>
      <c r="AX380" s="319"/>
      <c r="AY380" s="319"/>
      <c r="AZ380" s="319"/>
      <c r="BA380" s="319"/>
      <c r="BB380" s="319"/>
      <c r="BC380" s="319"/>
      <c r="BD380" s="319"/>
      <c r="BE380" s="319"/>
      <c r="BF380" s="319"/>
      <c r="BG380" s="319"/>
      <c r="BH380" s="319"/>
      <c r="BI380" s="261"/>
      <c r="BJ380" s="261"/>
      <c r="BK380" s="261"/>
      <c r="BL380" s="261"/>
      <c r="BM380" s="261"/>
      <c r="BN380" s="261"/>
      <c r="BO380" s="261"/>
      <c r="BP380" s="261"/>
      <c r="BQ380" s="261"/>
      <c r="BR380" s="261"/>
      <c r="BS380" s="261"/>
      <c r="BT380" s="261"/>
      <c r="BU380" s="261"/>
      <c r="BV380" s="261"/>
      <c r="BW380" s="261"/>
    </row>
    <row r="381" spans="2:75">
      <c r="B381" s="230"/>
      <c r="C381" s="230"/>
      <c r="D381" s="230"/>
      <c r="E381" s="230"/>
      <c r="F381" s="230"/>
      <c r="G381" s="230"/>
      <c r="H381" s="230"/>
      <c r="I381" s="230"/>
      <c r="J381" s="230"/>
      <c r="K381" s="230"/>
      <c r="L381" s="230"/>
      <c r="M381" s="230"/>
      <c r="N381" s="315"/>
      <c r="O381" s="315"/>
      <c r="P381" s="315"/>
      <c r="Q381" s="315"/>
      <c r="R381" s="315"/>
      <c r="S381" s="315"/>
      <c r="T381" s="315"/>
      <c r="U381" s="315"/>
      <c r="V381" s="315"/>
      <c r="W381" s="315"/>
      <c r="X381" s="315"/>
      <c r="Y381" s="315"/>
      <c r="Z381" s="315"/>
      <c r="AA381" s="315"/>
      <c r="AB381" s="315"/>
      <c r="AC381" s="315"/>
      <c r="AD381" s="315"/>
      <c r="AE381" s="315"/>
      <c r="AF381" s="315"/>
      <c r="AG381" s="315"/>
      <c r="AH381" s="315"/>
      <c r="AI381" s="315"/>
      <c r="AJ381" s="315"/>
      <c r="AK381" s="315"/>
      <c r="AL381" s="315"/>
      <c r="AM381" s="315"/>
      <c r="AN381" s="315"/>
      <c r="AO381" s="315"/>
      <c r="AP381" s="315"/>
      <c r="AQ381" s="320"/>
      <c r="AR381" s="319"/>
      <c r="AS381" s="319"/>
      <c r="AT381" s="319"/>
      <c r="AU381" s="319"/>
      <c r="AV381" s="319"/>
      <c r="AW381" s="319"/>
      <c r="AX381" s="319"/>
      <c r="AY381" s="319"/>
      <c r="AZ381" s="319"/>
      <c r="BA381" s="319"/>
      <c r="BB381" s="319"/>
      <c r="BC381" s="319"/>
      <c r="BD381" s="319"/>
      <c r="BE381" s="319"/>
      <c r="BF381" s="319"/>
      <c r="BG381" s="319"/>
      <c r="BH381" s="319"/>
      <c r="BI381" s="261"/>
      <c r="BJ381" s="261"/>
      <c r="BK381" s="261"/>
      <c r="BL381" s="261"/>
      <c r="BM381" s="261"/>
      <c r="BN381" s="261"/>
      <c r="BO381" s="261"/>
      <c r="BP381" s="261"/>
      <c r="BQ381" s="261"/>
      <c r="BR381" s="261"/>
      <c r="BS381" s="261"/>
      <c r="BT381" s="261"/>
      <c r="BU381" s="261"/>
      <c r="BV381" s="261"/>
      <c r="BW381" s="261"/>
    </row>
    <row r="382" spans="2:75">
      <c r="B382" s="230"/>
      <c r="C382" s="230"/>
      <c r="D382" s="230"/>
      <c r="E382" s="230"/>
      <c r="F382" s="230"/>
      <c r="G382" s="230"/>
      <c r="H382" s="230"/>
      <c r="I382" s="230"/>
      <c r="J382" s="230"/>
      <c r="K382" s="230"/>
      <c r="L382" s="230"/>
      <c r="M382" s="230"/>
      <c r="N382" s="315"/>
      <c r="O382" s="315"/>
      <c r="P382" s="315"/>
      <c r="Q382" s="315"/>
      <c r="R382" s="315"/>
      <c r="S382" s="315"/>
      <c r="T382" s="315"/>
      <c r="U382" s="315"/>
      <c r="V382" s="315"/>
      <c r="W382" s="315"/>
      <c r="X382" s="315"/>
      <c r="Y382" s="315"/>
      <c r="Z382" s="315"/>
      <c r="AA382" s="315"/>
      <c r="AB382" s="315"/>
      <c r="AC382" s="315"/>
      <c r="AD382" s="315"/>
      <c r="AE382" s="315"/>
      <c r="AF382" s="315"/>
      <c r="AG382" s="315"/>
      <c r="AH382" s="315"/>
      <c r="AI382" s="315"/>
      <c r="AJ382" s="315"/>
      <c r="AK382" s="315"/>
      <c r="AL382" s="315"/>
      <c r="AM382" s="315"/>
      <c r="AN382" s="315"/>
      <c r="AO382" s="315"/>
      <c r="AP382" s="315"/>
      <c r="AQ382" s="320"/>
      <c r="AR382" s="319"/>
      <c r="AS382" s="319"/>
      <c r="AT382" s="319"/>
      <c r="AU382" s="319"/>
      <c r="AV382" s="319"/>
      <c r="AW382" s="319"/>
      <c r="AX382" s="319"/>
      <c r="AY382" s="319"/>
      <c r="AZ382" s="319"/>
      <c r="BA382" s="319"/>
      <c r="BB382" s="319"/>
      <c r="BC382" s="319"/>
      <c r="BD382" s="319"/>
      <c r="BE382" s="319"/>
      <c r="BF382" s="319"/>
      <c r="BG382" s="319"/>
      <c r="BH382" s="319"/>
      <c r="BI382" s="261"/>
      <c r="BJ382" s="261"/>
      <c r="BK382" s="261"/>
      <c r="BL382" s="261"/>
      <c r="BM382" s="261"/>
      <c r="BN382" s="261"/>
      <c r="BO382" s="261"/>
      <c r="BP382" s="261"/>
      <c r="BQ382" s="261"/>
      <c r="BR382" s="261"/>
      <c r="BS382" s="261"/>
      <c r="BT382" s="261"/>
      <c r="BU382" s="261"/>
      <c r="BV382" s="261"/>
      <c r="BW382" s="261"/>
    </row>
    <row r="383" spans="2:75">
      <c r="B383" s="230"/>
      <c r="C383" s="230"/>
      <c r="D383" s="230"/>
      <c r="E383" s="230"/>
      <c r="F383" s="230"/>
      <c r="G383" s="230"/>
      <c r="H383" s="230"/>
      <c r="I383" s="230"/>
      <c r="J383" s="230"/>
      <c r="K383" s="230"/>
      <c r="L383" s="230"/>
      <c r="M383" s="230"/>
      <c r="N383" s="315"/>
      <c r="O383" s="315"/>
      <c r="P383" s="315"/>
      <c r="Q383" s="315"/>
      <c r="R383" s="315"/>
      <c r="S383" s="315"/>
      <c r="T383" s="315"/>
      <c r="U383" s="315"/>
      <c r="V383" s="315"/>
      <c r="W383" s="315"/>
      <c r="X383" s="315"/>
      <c r="Y383" s="315"/>
      <c r="Z383" s="315"/>
      <c r="AA383" s="315"/>
      <c r="AB383" s="315"/>
      <c r="AC383" s="315"/>
      <c r="AD383" s="315"/>
      <c r="AE383" s="315"/>
      <c r="AF383" s="315"/>
      <c r="AG383" s="315"/>
      <c r="AH383" s="315"/>
      <c r="AI383" s="315"/>
      <c r="AJ383" s="315"/>
      <c r="AK383" s="315"/>
      <c r="AL383" s="315"/>
      <c r="AM383" s="315"/>
      <c r="AN383" s="315"/>
      <c r="AO383" s="315"/>
      <c r="AP383" s="315"/>
      <c r="AQ383" s="320"/>
      <c r="AR383" s="319"/>
      <c r="AS383" s="319"/>
      <c r="AT383" s="319"/>
      <c r="AU383" s="319"/>
      <c r="AV383" s="319"/>
      <c r="AW383" s="319"/>
      <c r="AX383" s="319"/>
      <c r="AY383" s="319"/>
      <c r="AZ383" s="319"/>
      <c r="BA383" s="319"/>
      <c r="BB383" s="319"/>
      <c r="BC383" s="319"/>
      <c r="BD383" s="319"/>
      <c r="BE383" s="319"/>
      <c r="BF383" s="319"/>
      <c r="BG383" s="319"/>
      <c r="BH383" s="319"/>
      <c r="BI383" s="261"/>
      <c r="BJ383" s="261"/>
      <c r="BK383" s="261"/>
      <c r="BL383" s="261"/>
      <c r="BM383" s="261"/>
      <c r="BN383" s="261"/>
      <c r="BO383" s="261"/>
      <c r="BP383" s="261"/>
      <c r="BQ383" s="261"/>
      <c r="BR383" s="261"/>
      <c r="BS383" s="261"/>
      <c r="BT383" s="261"/>
      <c r="BU383" s="261"/>
      <c r="BV383" s="261"/>
      <c r="BW383" s="261"/>
    </row>
    <row r="384" spans="2:75">
      <c r="B384" s="230"/>
      <c r="C384" s="230"/>
      <c r="D384" s="230"/>
      <c r="E384" s="230"/>
      <c r="F384" s="230"/>
      <c r="G384" s="230"/>
      <c r="H384" s="230"/>
      <c r="I384" s="230"/>
      <c r="J384" s="230"/>
      <c r="K384" s="230"/>
      <c r="L384" s="230"/>
      <c r="M384" s="230"/>
      <c r="N384" s="315"/>
      <c r="O384" s="315"/>
      <c r="P384" s="315"/>
      <c r="Q384" s="315"/>
      <c r="R384" s="315"/>
      <c r="S384" s="315"/>
      <c r="T384" s="315"/>
      <c r="U384" s="315"/>
      <c r="V384" s="315"/>
      <c r="W384" s="315"/>
      <c r="X384" s="315"/>
      <c r="Y384" s="315"/>
      <c r="Z384" s="315"/>
      <c r="AA384" s="315"/>
      <c r="AB384" s="315"/>
      <c r="AC384" s="315"/>
      <c r="AD384" s="315"/>
      <c r="AE384" s="315"/>
      <c r="AF384" s="315"/>
      <c r="AG384" s="315"/>
      <c r="AH384" s="315"/>
      <c r="AI384" s="315"/>
      <c r="AJ384" s="315"/>
      <c r="AK384" s="315"/>
      <c r="AL384" s="315"/>
      <c r="AM384" s="315"/>
      <c r="AN384" s="315"/>
      <c r="AO384" s="315"/>
      <c r="AP384" s="315"/>
      <c r="AQ384" s="320"/>
      <c r="AR384" s="319"/>
      <c r="AS384" s="319"/>
      <c r="AT384" s="319"/>
      <c r="AU384" s="319"/>
      <c r="AV384" s="319"/>
      <c r="AW384" s="319"/>
      <c r="AX384" s="319"/>
      <c r="AY384" s="319"/>
      <c r="AZ384" s="319"/>
      <c r="BA384" s="319"/>
      <c r="BB384" s="319"/>
      <c r="BC384" s="319"/>
      <c r="BD384" s="319"/>
      <c r="BE384" s="319"/>
      <c r="BF384" s="319"/>
      <c r="BG384" s="319"/>
      <c r="BH384" s="319"/>
      <c r="BI384" s="261"/>
      <c r="BJ384" s="261"/>
      <c r="BK384" s="261"/>
      <c r="BL384" s="261"/>
      <c r="BM384" s="261"/>
      <c r="BN384" s="261"/>
      <c r="BO384" s="261"/>
      <c r="BP384" s="261"/>
      <c r="BQ384" s="261"/>
      <c r="BR384" s="261"/>
      <c r="BS384" s="261"/>
      <c r="BT384" s="261"/>
      <c r="BU384" s="261"/>
      <c r="BV384" s="261"/>
      <c r="BW384" s="261"/>
    </row>
    <row r="385" spans="2:75">
      <c r="B385" s="230"/>
      <c r="C385" s="230"/>
      <c r="D385" s="230"/>
      <c r="E385" s="230"/>
      <c r="F385" s="230"/>
      <c r="G385" s="230"/>
      <c r="H385" s="230"/>
      <c r="I385" s="230"/>
      <c r="J385" s="230"/>
      <c r="K385" s="230"/>
      <c r="L385" s="230"/>
      <c r="M385" s="230"/>
      <c r="N385" s="315"/>
      <c r="O385" s="315"/>
      <c r="P385" s="315"/>
      <c r="Q385" s="315"/>
      <c r="R385" s="315"/>
      <c r="S385" s="315"/>
      <c r="T385" s="315"/>
      <c r="U385" s="315"/>
      <c r="V385" s="315"/>
      <c r="W385" s="315"/>
      <c r="X385" s="315"/>
      <c r="Y385" s="315"/>
      <c r="Z385" s="315"/>
      <c r="AA385" s="315"/>
      <c r="AB385" s="315"/>
      <c r="AC385" s="315"/>
      <c r="AD385" s="315"/>
      <c r="AE385" s="315"/>
      <c r="AF385" s="315"/>
      <c r="AG385" s="315"/>
      <c r="AH385" s="315"/>
      <c r="AI385" s="315"/>
      <c r="AJ385" s="315"/>
      <c r="AK385" s="315"/>
      <c r="AL385" s="315"/>
      <c r="AM385" s="315"/>
      <c r="AN385" s="315"/>
      <c r="AO385" s="315"/>
      <c r="AP385" s="315"/>
      <c r="AQ385" s="320"/>
      <c r="AR385" s="319"/>
      <c r="AS385" s="319"/>
      <c r="AT385" s="319"/>
      <c r="AU385" s="319"/>
      <c r="AV385" s="319"/>
      <c r="AW385" s="319"/>
      <c r="AX385" s="319"/>
      <c r="AY385" s="319"/>
      <c r="AZ385" s="319"/>
      <c r="BA385" s="319"/>
      <c r="BB385" s="319"/>
      <c r="BC385" s="319"/>
      <c r="BD385" s="319"/>
      <c r="BE385" s="319"/>
      <c r="BF385" s="319"/>
      <c r="BG385" s="319"/>
      <c r="BH385" s="319"/>
      <c r="BI385" s="261"/>
      <c r="BJ385" s="261"/>
      <c r="BK385" s="261"/>
      <c r="BL385" s="261"/>
      <c r="BM385" s="261"/>
      <c r="BN385" s="261"/>
      <c r="BO385" s="261"/>
      <c r="BP385" s="261"/>
      <c r="BQ385" s="261"/>
      <c r="BR385" s="261"/>
      <c r="BS385" s="261"/>
      <c r="BT385" s="261"/>
      <c r="BU385" s="261"/>
      <c r="BV385" s="261"/>
      <c r="BW385" s="261"/>
    </row>
    <row r="386" spans="2:75">
      <c r="B386" s="230"/>
      <c r="C386" s="230"/>
      <c r="D386" s="230"/>
      <c r="E386" s="230"/>
      <c r="F386" s="230"/>
      <c r="G386" s="230"/>
      <c r="H386" s="230"/>
      <c r="I386" s="230"/>
      <c r="J386" s="230"/>
      <c r="K386" s="230"/>
      <c r="L386" s="230"/>
      <c r="M386" s="230"/>
      <c r="N386" s="315"/>
      <c r="O386" s="315"/>
      <c r="P386" s="315"/>
      <c r="Q386" s="315"/>
      <c r="R386" s="315"/>
      <c r="S386" s="315"/>
      <c r="T386" s="315"/>
      <c r="U386" s="315"/>
      <c r="V386" s="315"/>
      <c r="W386" s="315"/>
      <c r="X386" s="315"/>
      <c r="Y386" s="315"/>
      <c r="Z386" s="315"/>
      <c r="AA386" s="315"/>
      <c r="AB386" s="315"/>
      <c r="AC386" s="315"/>
      <c r="AD386" s="315"/>
      <c r="AE386" s="315"/>
      <c r="AF386" s="315"/>
      <c r="AG386" s="315"/>
      <c r="AH386" s="315"/>
      <c r="AI386" s="315"/>
      <c r="AJ386" s="315"/>
      <c r="AK386" s="315"/>
      <c r="AL386" s="315"/>
      <c r="AM386" s="315"/>
      <c r="AN386" s="315"/>
      <c r="AO386" s="315"/>
      <c r="AP386" s="315"/>
      <c r="AQ386" s="320"/>
      <c r="AR386" s="319"/>
      <c r="AS386" s="319"/>
      <c r="AT386" s="319"/>
      <c r="AU386" s="319"/>
      <c r="AV386" s="319"/>
      <c r="AW386" s="319"/>
      <c r="AX386" s="319"/>
      <c r="AY386" s="319"/>
      <c r="AZ386" s="319"/>
      <c r="BA386" s="319"/>
      <c r="BB386" s="319"/>
      <c r="BC386" s="319"/>
      <c r="BD386" s="319"/>
      <c r="BE386" s="319"/>
      <c r="BF386" s="319"/>
      <c r="BG386" s="319"/>
      <c r="BH386" s="319"/>
      <c r="BI386" s="261"/>
      <c r="BJ386" s="261"/>
      <c r="BK386" s="261"/>
      <c r="BL386" s="261"/>
      <c r="BM386" s="261"/>
      <c r="BN386" s="261"/>
      <c r="BO386" s="261"/>
      <c r="BP386" s="261"/>
      <c r="BQ386" s="261"/>
      <c r="BR386" s="261"/>
      <c r="BS386" s="261"/>
      <c r="BT386" s="261"/>
      <c r="BU386" s="261"/>
      <c r="BV386" s="261"/>
      <c r="BW386" s="261"/>
    </row>
    <row r="387" spans="2:75">
      <c r="B387" s="230"/>
      <c r="C387" s="230"/>
      <c r="D387" s="230"/>
      <c r="E387" s="230"/>
      <c r="F387" s="230"/>
      <c r="G387" s="230"/>
      <c r="H387" s="230"/>
      <c r="I387" s="230"/>
      <c r="J387" s="230"/>
      <c r="K387" s="230"/>
      <c r="L387" s="230"/>
      <c r="M387" s="230"/>
      <c r="N387" s="315"/>
      <c r="O387" s="315"/>
      <c r="P387" s="315"/>
      <c r="Q387" s="315"/>
      <c r="R387" s="315"/>
      <c r="S387" s="315"/>
      <c r="T387" s="315"/>
      <c r="U387" s="315"/>
      <c r="V387" s="315"/>
      <c r="W387" s="315"/>
      <c r="X387" s="315"/>
      <c r="Y387" s="315"/>
      <c r="Z387" s="315"/>
      <c r="AA387" s="315"/>
      <c r="AB387" s="315"/>
      <c r="AC387" s="315"/>
      <c r="AD387" s="315"/>
      <c r="AE387" s="315"/>
      <c r="AF387" s="315"/>
      <c r="AG387" s="315"/>
      <c r="AH387" s="315"/>
      <c r="AI387" s="315"/>
      <c r="AJ387" s="315"/>
      <c r="AK387" s="315"/>
      <c r="AL387" s="315"/>
      <c r="AM387" s="315"/>
      <c r="AN387" s="315"/>
      <c r="AO387" s="315"/>
      <c r="AP387" s="315"/>
      <c r="AQ387" s="320"/>
      <c r="AR387" s="319"/>
      <c r="AS387" s="319"/>
      <c r="AT387" s="319"/>
      <c r="AU387" s="319"/>
      <c r="AV387" s="319"/>
      <c r="AW387" s="319"/>
      <c r="AX387" s="319"/>
      <c r="AY387" s="319"/>
      <c r="AZ387" s="319"/>
      <c r="BA387" s="319"/>
      <c r="BB387" s="319"/>
      <c r="BC387" s="319"/>
      <c r="BD387" s="319"/>
      <c r="BE387" s="319"/>
      <c r="BF387" s="319"/>
      <c r="BG387" s="319"/>
      <c r="BH387" s="319"/>
      <c r="BI387" s="261"/>
      <c r="BJ387" s="261"/>
      <c r="BK387" s="261"/>
      <c r="BL387" s="261"/>
      <c r="BM387" s="261"/>
      <c r="BN387" s="261"/>
      <c r="BO387" s="261"/>
      <c r="BP387" s="261"/>
      <c r="BQ387" s="261"/>
      <c r="BR387" s="261"/>
      <c r="BS387" s="261"/>
      <c r="BT387" s="261"/>
      <c r="BU387" s="261"/>
      <c r="BV387" s="261"/>
      <c r="BW387" s="261"/>
    </row>
    <row r="388" spans="2:75">
      <c r="B388" s="230"/>
      <c r="C388" s="230"/>
      <c r="D388" s="230"/>
      <c r="E388" s="230"/>
      <c r="F388" s="230"/>
      <c r="G388" s="230"/>
      <c r="H388" s="230"/>
      <c r="I388" s="230"/>
      <c r="J388" s="230"/>
      <c r="K388" s="230"/>
      <c r="L388" s="230"/>
      <c r="M388" s="230"/>
      <c r="N388" s="315"/>
      <c r="O388" s="315"/>
      <c r="P388" s="315"/>
      <c r="Q388" s="315"/>
      <c r="R388" s="315"/>
      <c r="S388" s="315"/>
      <c r="T388" s="315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5"/>
      <c r="AH388" s="315"/>
      <c r="AI388" s="315"/>
      <c r="AJ388" s="315"/>
      <c r="AK388" s="315"/>
      <c r="AL388" s="315"/>
      <c r="AM388" s="315"/>
      <c r="AN388" s="315"/>
      <c r="AO388" s="315"/>
      <c r="AP388" s="315"/>
      <c r="AQ388" s="320"/>
      <c r="AR388" s="319"/>
      <c r="AS388" s="319"/>
      <c r="AT388" s="319"/>
      <c r="AU388" s="319"/>
      <c r="AV388" s="319"/>
      <c r="AW388" s="319"/>
      <c r="AX388" s="319"/>
      <c r="AY388" s="319"/>
      <c r="AZ388" s="319"/>
      <c r="BA388" s="319"/>
      <c r="BB388" s="319"/>
      <c r="BC388" s="319"/>
      <c r="BD388" s="319"/>
      <c r="BE388" s="319"/>
      <c r="BF388" s="319"/>
      <c r="BG388" s="319"/>
      <c r="BH388" s="319"/>
      <c r="BI388" s="261"/>
      <c r="BJ388" s="261"/>
      <c r="BK388" s="261"/>
      <c r="BL388" s="261"/>
      <c r="BM388" s="261"/>
      <c r="BN388" s="261"/>
      <c r="BO388" s="261"/>
      <c r="BP388" s="261"/>
      <c r="BQ388" s="261"/>
      <c r="BR388" s="261"/>
      <c r="BS388" s="261"/>
      <c r="BT388" s="261"/>
      <c r="BU388" s="261"/>
      <c r="BV388" s="261"/>
      <c r="BW388" s="261"/>
    </row>
    <row r="389" spans="2:75">
      <c r="B389" s="230"/>
      <c r="C389" s="230"/>
      <c r="D389" s="230"/>
      <c r="E389" s="230"/>
      <c r="F389" s="230"/>
      <c r="G389" s="230"/>
      <c r="H389" s="230"/>
      <c r="I389" s="230"/>
      <c r="J389" s="230"/>
      <c r="K389" s="230"/>
      <c r="L389" s="230"/>
      <c r="M389" s="230"/>
      <c r="N389" s="315"/>
      <c r="O389" s="315"/>
      <c r="P389" s="315"/>
      <c r="Q389" s="315"/>
      <c r="R389" s="315"/>
      <c r="S389" s="315"/>
      <c r="T389" s="315"/>
      <c r="U389" s="315"/>
      <c r="V389" s="315"/>
      <c r="W389" s="315"/>
      <c r="X389" s="315"/>
      <c r="Y389" s="315"/>
      <c r="Z389" s="315"/>
      <c r="AA389" s="315"/>
      <c r="AB389" s="315"/>
      <c r="AC389" s="315"/>
      <c r="AD389" s="315"/>
      <c r="AE389" s="315"/>
      <c r="AF389" s="315"/>
      <c r="AG389" s="315"/>
      <c r="AH389" s="315"/>
      <c r="AI389" s="315"/>
      <c r="AJ389" s="315"/>
      <c r="AK389" s="315"/>
      <c r="AL389" s="315"/>
      <c r="AM389" s="315"/>
      <c r="AN389" s="315"/>
      <c r="AO389" s="315"/>
      <c r="AP389" s="315"/>
      <c r="AQ389" s="320"/>
      <c r="AR389" s="319"/>
      <c r="AS389" s="319"/>
      <c r="AT389" s="319"/>
      <c r="AU389" s="319"/>
      <c r="AV389" s="319"/>
      <c r="AW389" s="319"/>
      <c r="AX389" s="319"/>
      <c r="AY389" s="319"/>
      <c r="AZ389" s="319"/>
      <c r="BA389" s="319"/>
      <c r="BB389" s="319"/>
      <c r="BC389" s="319"/>
      <c r="BD389" s="319"/>
      <c r="BE389" s="319"/>
      <c r="BF389" s="319"/>
      <c r="BG389" s="319"/>
      <c r="BH389" s="319"/>
      <c r="BI389" s="261"/>
      <c r="BJ389" s="261"/>
      <c r="BK389" s="261"/>
      <c r="BL389" s="261"/>
      <c r="BM389" s="261"/>
      <c r="BN389" s="261"/>
      <c r="BO389" s="261"/>
      <c r="BP389" s="261"/>
      <c r="BQ389" s="261"/>
      <c r="BR389" s="261"/>
      <c r="BS389" s="261"/>
      <c r="BT389" s="261"/>
      <c r="BU389" s="261"/>
      <c r="BV389" s="261"/>
      <c r="BW389" s="261"/>
    </row>
    <row r="390" spans="2:75">
      <c r="B390" s="230"/>
      <c r="C390" s="230"/>
      <c r="D390" s="230"/>
      <c r="E390" s="230"/>
      <c r="F390" s="230"/>
      <c r="G390" s="230"/>
      <c r="H390" s="230"/>
      <c r="I390" s="230"/>
      <c r="J390" s="230"/>
      <c r="K390" s="230"/>
      <c r="L390" s="230"/>
      <c r="M390" s="230"/>
      <c r="N390" s="315"/>
      <c r="O390" s="315"/>
      <c r="P390" s="315"/>
      <c r="Q390" s="315"/>
      <c r="R390" s="315"/>
      <c r="S390" s="315"/>
      <c r="T390" s="315"/>
      <c r="U390" s="315"/>
      <c r="V390" s="315"/>
      <c r="W390" s="315"/>
      <c r="X390" s="315"/>
      <c r="Y390" s="315"/>
      <c r="Z390" s="315"/>
      <c r="AA390" s="315"/>
      <c r="AB390" s="315"/>
      <c r="AC390" s="315"/>
      <c r="AD390" s="315"/>
      <c r="AE390" s="315"/>
      <c r="AF390" s="315"/>
      <c r="AG390" s="315"/>
      <c r="AH390" s="315"/>
      <c r="AI390" s="315"/>
      <c r="AJ390" s="315"/>
      <c r="AK390" s="315"/>
      <c r="AL390" s="315"/>
      <c r="AM390" s="315"/>
      <c r="AN390" s="315"/>
      <c r="AO390" s="315"/>
      <c r="AP390" s="315"/>
      <c r="AQ390" s="320"/>
      <c r="AR390" s="319"/>
      <c r="AS390" s="319"/>
      <c r="AT390" s="319"/>
      <c r="AU390" s="319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19"/>
      <c r="BI390" s="261"/>
      <c r="BJ390" s="261"/>
      <c r="BK390" s="261"/>
      <c r="BL390" s="261"/>
      <c r="BM390" s="261"/>
      <c r="BN390" s="261"/>
      <c r="BO390" s="261"/>
      <c r="BP390" s="261"/>
      <c r="BQ390" s="261"/>
      <c r="BR390" s="261"/>
      <c r="BS390" s="261"/>
      <c r="BT390" s="261"/>
      <c r="BU390" s="261"/>
      <c r="BV390" s="261"/>
      <c r="BW390" s="261"/>
    </row>
    <row r="391" spans="2:75">
      <c r="B391" s="230"/>
      <c r="C391" s="230"/>
      <c r="D391" s="230"/>
      <c r="E391" s="230"/>
      <c r="F391" s="230"/>
      <c r="G391" s="230"/>
      <c r="H391" s="230"/>
      <c r="I391" s="230"/>
      <c r="J391" s="230"/>
      <c r="K391" s="230"/>
      <c r="L391" s="230"/>
      <c r="M391" s="230"/>
      <c r="N391" s="315"/>
      <c r="O391" s="315"/>
      <c r="P391" s="315"/>
      <c r="Q391" s="315"/>
      <c r="R391" s="315"/>
      <c r="S391" s="315"/>
      <c r="T391" s="315"/>
      <c r="U391" s="315"/>
      <c r="V391" s="315"/>
      <c r="W391" s="315"/>
      <c r="X391" s="315"/>
      <c r="Y391" s="315"/>
      <c r="Z391" s="315"/>
      <c r="AA391" s="315"/>
      <c r="AB391" s="315"/>
      <c r="AC391" s="315"/>
      <c r="AD391" s="315"/>
      <c r="AE391" s="315"/>
      <c r="AF391" s="315"/>
      <c r="AG391" s="315"/>
      <c r="AH391" s="315"/>
      <c r="AI391" s="315"/>
      <c r="AJ391" s="315"/>
      <c r="AK391" s="315"/>
      <c r="AL391" s="315"/>
      <c r="AM391" s="315"/>
      <c r="AN391" s="315"/>
      <c r="AO391" s="315"/>
      <c r="AP391" s="315"/>
      <c r="AQ391" s="320"/>
      <c r="AR391" s="319"/>
      <c r="AS391" s="319"/>
      <c r="AT391" s="319"/>
      <c r="AU391" s="319"/>
      <c r="AV391" s="319"/>
      <c r="AW391" s="319"/>
      <c r="AX391" s="319"/>
      <c r="AY391" s="319"/>
      <c r="AZ391" s="319"/>
      <c r="BA391" s="319"/>
      <c r="BB391" s="319"/>
      <c r="BC391" s="319"/>
      <c r="BD391" s="319"/>
      <c r="BE391" s="319"/>
      <c r="BF391" s="319"/>
      <c r="BG391" s="319"/>
      <c r="BH391" s="319"/>
      <c r="BI391" s="261"/>
      <c r="BJ391" s="261"/>
      <c r="BK391" s="261"/>
      <c r="BL391" s="261"/>
      <c r="BM391" s="261"/>
      <c r="BN391" s="261"/>
      <c r="BO391" s="261"/>
      <c r="BP391" s="261"/>
      <c r="BQ391" s="261"/>
      <c r="BR391" s="261"/>
      <c r="BS391" s="261"/>
      <c r="BT391" s="261"/>
      <c r="BU391" s="261"/>
      <c r="BV391" s="261"/>
      <c r="BW391" s="261"/>
    </row>
    <row r="392" spans="2:75">
      <c r="B392" s="230"/>
      <c r="C392" s="230"/>
      <c r="D392" s="230"/>
      <c r="E392" s="230"/>
      <c r="F392" s="230"/>
      <c r="G392" s="230"/>
      <c r="H392" s="230"/>
      <c r="I392" s="230"/>
      <c r="J392" s="230"/>
      <c r="K392" s="230"/>
      <c r="L392" s="230"/>
      <c r="M392" s="230"/>
      <c r="N392" s="315"/>
      <c r="O392" s="315"/>
      <c r="P392" s="315"/>
      <c r="Q392" s="315"/>
      <c r="R392" s="315"/>
      <c r="S392" s="315"/>
      <c r="T392" s="315"/>
      <c r="U392" s="315"/>
      <c r="V392" s="315"/>
      <c r="W392" s="315"/>
      <c r="X392" s="315"/>
      <c r="Y392" s="315"/>
      <c r="Z392" s="315"/>
      <c r="AA392" s="315"/>
      <c r="AB392" s="315"/>
      <c r="AC392" s="315"/>
      <c r="AD392" s="315"/>
      <c r="AE392" s="315"/>
      <c r="AF392" s="315"/>
      <c r="AG392" s="315"/>
      <c r="AH392" s="315"/>
      <c r="AI392" s="315"/>
      <c r="AJ392" s="315"/>
      <c r="AK392" s="315"/>
      <c r="AL392" s="315"/>
      <c r="AM392" s="315"/>
      <c r="AN392" s="315"/>
      <c r="AO392" s="315"/>
      <c r="AP392" s="315"/>
      <c r="AQ392" s="320"/>
      <c r="AR392" s="319"/>
      <c r="AS392" s="319"/>
      <c r="AT392" s="319"/>
      <c r="AU392" s="319"/>
      <c r="AV392" s="319"/>
      <c r="AW392" s="319"/>
      <c r="AX392" s="319"/>
      <c r="AY392" s="319"/>
      <c r="AZ392" s="319"/>
      <c r="BA392" s="319"/>
      <c r="BB392" s="319"/>
      <c r="BC392" s="319"/>
      <c r="BD392" s="319"/>
      <c r="BE392" s="319"/>
      <c r="BF392" s="319"/>
      <c r="BG392" s="319"/>
      <c r="BH392" s="319"/>
      <c r="BI392" s="261"/>
      <c r="BJ392" s="261"/>
      <c r="BK392" s="261"/>
      <c r="BL392" s="261"/>
      <c r="BM392" s="261"/>
      <c r="BN392" s="261"/>
      <c r="BO392" s="261"/>
      <c r="BP392" s="261"/>
      <c r="BQ392" s="261"/>
      <c r="BR392" s="261"/>
      <c r="BS392" s="261"/>
      <c r="BT392" s="261"/>
      <c r="BU392" s="261"/>
      <c r="BV392" s="261"/>
      <c r="BW392" s="261"/>
    </row>
    <row r="393" spans="2:75">
      <c r="B393" s="230"/>
      <c r="C393" s="230"/>
      <c r="D393" s="230"/>
      <c r="E393" s="230"/>
      <c r="F393" s="230"/>
      <c r="G393" s="230"/>
      <c r="H393" s="230"/>
      <c r="I393" s="230"/>
      <c r="J393" s="230"/>
      <c r="K393" s="230"/>
      <c r="L393" s="230"/>
      <c r="M393" s="230"/>
      <c r="N393" s="315"/>
      <c r="O393" s="315"/>
      <c r="P393" s="315"/>
      <c r="Q393" s="315"/>
      <c r="R393" s="315"/>
      <c r="S393" s="315"/>
      <c r="T393" s="315"/>
      <c r="U393" s="315"/>
      <c r="V393" s="315"/>
      <c r="W393" s="315"/>
      <c r="X393" s="315"/>
      <c r="Y393" s="315"/>
      <c r="Z393" s="315"/>
      <c r="AA393" s="315"/>
      <c r="AB393" s="315"/>
      <c r="AC393" s="315"/>
      <c r="AD393" s="315"/>
      <c r="AE393" s="315"/>
      <c r="AF393" s="315"/>
      <c r="AG393" s="315"/>
      <c r="AH393" s="315"/>
      <c r="AI393" s="315"/>
      <c r="AJ393" s="315"/>
      <c r="AK393" s="315"/>
      <c r="AL393" s="315"/>
      <c r="AM393" s="315"/>
      <c r="AN393" s="315"/>
      <c r="AO393" s="315"/>
      <c r="AP393" s="315"/>
      <c r="AQ393" s="320"/>
      <c r="AR393" s="319"/>
      <c r="AS393" s="319"/>
      <c r="AT393" s="319"/>
      <c r="AU393" s="319"/>
      <c r="AV393" s="319"/>
      <c r="AW393" s="319"/>
      <c r="AX393" s="319"/>
      <c r="AY393" s="319"/>
      <c r="AZ393" s="319"/>
      <c r="BA393" s="319"/>
      <c r="BB393" s="319"/>
      <c r="BC393" s="319"/>
      <c r="BD393" s="319"/>
      <c r="BE393" s="319"/>
      <c r="BF393" s="319"/>
      <c r="BG393" s="319"/>
      <c r="BH393" s="319"/>
      <c r="BI393" s="261"/>
      <c r="BJ393" s="261"/>
      <c r="BK393" s="261"/>
      <c r="BL393" s="261"/>
      <c r="BM393" s="261"/>
      <c r="BN393" s="261"/>
      <c r="BO393" s="261"/>
      <c r="BP393" s="261"/>
      <c r="BQ393" s="261"/>
      <c r="BR393" s="261"/>
      <c r="BS393" s="261"/>
      <c r="BT393" s="261"/>
      <c r="BU393" s="261"/>
      <c r="BV393" s="261"/>
      <c r="BW393" s="261"/>
    </row>
    <row r="394" spans="2:75">
      <c r="B394" s="230"/>
      <c r="C394" s="230"/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315"/>
      <c r="O394" s="315"/>
      <c r="P394" s="315"/>
      <c r="Q394" s="315"/>
      <c r="R394" s="315"/>
      <c r="S394" s="315"/>
      <c r="T394" s="315"/>
      <c r="U394" s="315"/>
      <c r="V394" s="315"/>
      <c r="W394" s="315"/>
      <c r="X394" s="315"/>
      <c r="Y394" s="315"/>
      <c r="Z394" s="315"/>
      <c r="AA394" s="315"/>
      <c r="AB394" s="315"/>
      <c r="AC394" s="315"/>
      <c r="AD394" s="315"/>
      <c r="AE394" s="315"/>
      <c r="AF394" s="315"/>
      <c r="AG394" s="315"/>
      <c r="AH394" s="315"/>
      <c r="AI394" s="315"/>
      <c r="AJ394" s="315"/>
      <c r="AK394" s="315"/>
      <c r="AL394" s="315"/>
      <c r="AM394" s="315"/>
      <c r="AN394" s="315"/>
      <c r="AO394" s="315"/>
      <c r="AP394" s="315"/>
      <c r="AQ394" s="320"/>
      <c r="AR394" s="319"/>
      <c r="AS394" s="319"/>
      <c r="AT394" s="319"/>
      <c r="AU394" s="319"/>
      <c r="AV394" s="319"/>
      <c r="AW394" s="319"/>
      <c r="AX394" s="319"/>
      <c r="AY394" s="319"/>
      <c r="AZ394" s="319"/>
      <c r="BA394" s="319"/>
      <c r="BB394" s="319"/>
      <c r="BC394" s="319"/>
      <c r="BD394" s="319"/>
      <c r="BE394" s="319"/>
      <c r="BF394" s="319"/>
      <c r="BG394" s="319"/>
      <c r="BH394" s="319"/>
      <c r="BI394" s="261"/>
      <c r="BJ394" s="261"/>
      <c r="BK394" s="261"/>
      <c r="BL394" s="261"/>
      <c r="BM394" s="261"/>
      <c r="BN394" s="261"/>
      <c r="BO394" s="261"/>
      <c r="BP394" s="261"/>
      <c r="BQ394" s="261"/>
      <c r="BR394" s="261"/>
      <c r="BS394" s="261"/>
      <c r="BT394" s="261"/>
      <c r="BU394" s="261"/>
      <c r="BV394" s="261"/>
      <c r="BW394" s="261"/>
    </row>
    <row r="395" spans="2:75">
      <c r="B395" s="230"/>
      <c r="C395" s="230"/>
      <c r="D395" s="230"/>
      <c r="E395" s="230"/>
      <c r="F395" s="230"/>
      <c r="G395" s="230"/>
      <c r="H395" s="230"/>
      <c r="I395" s="230"/>
      <c r="J395" s="230"/>
      <c r="K395" s="230"/>
      <c r="L395" s="230"/>
      <c r="M395" s="230"/>
      <c r="N395" s="315"/>
      <c r="O395" s="315"/>
      <c r="P395" s="315"/>
      <c r="Q395" s="315"/>
      <c r="R395" s="315"/>
      <c r="S395" s="315"/>
      <c r="T395" s="315"/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5"/>
      <c r="AH395" s="315"/>
      <c r="AI395" s="315"/>
      <c r="AJ395" s="315"/>
      <c r="AK395" s="315"/>
      <c r="AL395" s="315"/>
      <c r="AM395" s="315"/>
      <c r="AN395" s="315"/>
      <c r="AO395" s="315"/>
      <c r="AP395" s="315"/>
      <c r="AQ395" s="320"/>
      <c r="AR395" s="319"/>
      <c r="AS395" s="319"/>
      <c r="AT395" s="319"/>
      <c r="AU395" s="319"/>
      <c r="AV395" s="319"/>
      <c r="AW395" s="319"/>
      <c r="AX395" s="319"/>
      <c r="AY395" s="319"/>
      <c r="AZ395" s="319"/>
      <c r="BA395" s="319"/>
      <c r="BB395" s="319"/>
      <c r="BC395" s="319"/>
      <c r="BD395" s="319"/>
      <c r="BE395" s="319"/>
      <c r="BF395" s="319"/>
      <c r="BG395" s="319"/>
      <c r="BH395" s="319"/>
      <c r="BI395" s="261"/>
      <c r="BJ395" s="261"/>
      <c r="BK395" s="261"/>
      <c r="BL395" s="261"/>
      <c r="BM395" s="261"/>
      <c r="BN395" s="261"/>
      <c r="BO395" s="261"/>
      <c r="BP395" s="261"/>
      <c r="BQ395" s="261"/>
      <c r="BR395" s="261"/>
      <c r="BS395" s="261"/>
      <c r="BT395" s="261"/>
      <c r="BU395" s="261"/>
      <c r="BV395" s="261"/>
      <c r="BW395" s="261"/>
    </row>
    <row r="396" spans="2:75">
      <c r="B396" s="230"/>
      <c r="C396" s="230"/>
      <c r="D396" s="230"/>
      <c r="E396" s="230"/>
      <c r="F396" s="230"/>
      <c r="G396" s="230"/>
      <c r="H396" s="230"/>
      <c r="I396" s="230"/>
      <c r="J396" s="230"/>
      <c r="K396" s="230"/>
      <c r="L396" s="230"/>
      <c r="M396" s="230"/>
      <c r="N396" s="315"/>
      <c r="O396" s="315"/>
      <c r="P396" s="315"/>
      <c r="Q396" s="315"/>
      <c r="R396" s="315"/>
      <c r="S396" s="315"/>
      <c r="T396" s="315"/>
      <c r="U396" s="315"/>
      <c r="V396" s="315"/>
      <c r="W396" s="315"/>
      <c r="X396" s="315"/>
      <c r="Y396" s="315"/>
      <c r="Z396" s="315"/>
      <c r="AA396" s="315"/>
      <c r="AB396" s="315"/>
      <c r="AC396" s="315"/>
      <c r="AD396" s="315"/>
      <c r="AE396" s="315"/>
      <c r="AF396" s="315"/>
      <c r="AG396" s="315"/>
      <c r="AH396" s="315"/>
      <c r="AI396" s="315"/>
      <c r="AJ396" s="315"/>
      <c r="AK396" s="315"/>
      <c r="AL396" s="315"/>
      <c r="AM396" s="315"/>
      <c r="AN396" s="315"/>
      <c r="AO396" s="315"/>
      <c r="AP396" s="315"/>
      <c r="AQ396" s="320"/>
      <c r="AR396" s="319"/>
      <c r="AS396" s="319"/>
      <c r="AT396" s="319"/>
      <c r="AU396" s="319"/>
      <c r="AV396" s="319"/>
      <c r="AW396" s="319"/>
      <c r="AX396" s="319"/>
      <c r="AY396" s="319"/>
      <c r="AZ396" s="319"/>
      <c r="BA396" s="319"/>
      <c r="BB396" s="319"/>
      <c r="BC396" s="319"/>
      <c r="BD396" s="319"/>
      <c r="BE396" s="319"/>
      <c r="BF396" s="319"/>
      <c r="BG396" s="319"/>
      <c r="BH396" s="319"/>
      <c r="BI396" s="261"/>
      <c r="BJ396" s="261"/>
      <c r="BK396" s="261"/>
      <c r="BL396" s="261"/>
      <c r="BM396" s="261"/>
      <c r="BN396" s="261"/>
      <c r="BO396" s="261"/>
      <c r="BP396" s="261"/>
      <c r="BQ396" s="261"/>
      <c r="BR396" s="261"/>
      <c r="BS396" s="261"/>
      <c r="BT396" s="261"/>
      <c r="BU396" s="261"/>
      <c r="BV396" s="261"/>
      <c r="BW396" s="261"/>
    </row>
    <row r="397" spans="2:75">
      <c r="B397" s="230"/>
      <c r="C397" s="230"/>
      <c r="D397" s="230"/>
      <c r="E397" s="230"/>
      <c r="F397" s="230"/>
      <c r="G397" s="230"/>
      <c r="H397" s="230"/>
      <c r="I397" s="230"/>
      <c r="J397" s="230"/>
      <c r="K397" s="230"/>
      <c r="L397" s="230"/>
      <c r="M397" s="230"/>
      <c r="N397" s="315"/>
      <c r="O397" s="315"/>
      <c r="P397" s="315"/>
      <c r="Q397" s="315"/>
      <c r="R397" s="315"/>
      <c r="S397" s="315"/>
      <c r="T397" s="315"/>
      <c r="U397" s="315"/>
      <c r="V397" s="315"/>
      <c r="W397" s="315"/>
      <c r="X397" s="315"/>
      <c r="Y397" s="315"/>
      <c r="Z397" s="315"/>
      <c r="AA397" s="315"/>
      <c r="AB397" s="315"/>
      <c r="AC397" s="315"/>
      <c r="AD397" s="315"/>
      <c r="AE397" s="315"/>
      <c r="AF397" s="315"/>
      <c r="AG397" s="315"/>
      <c r="AH397" s="315"/>
      <c r="AI397" s="315"/>
      <c r="AJ397" s="315"/>
      <c r="AK397" s="315"/>
      <c r="AL397" s="315"/>
      <c r="AM397" s="315"/>
      <c r="AN397" s="315"/>
      <c r="AO397" s="315"/>
      <c r="AP397" s="315"/>
      <c r="AQ397" s="320"/>
      <c r="AR397" s="319"/>
      <c r="AS397" s="319"/>
      <c r="AT397" s="319"/>
      <c r="AU397" s="319"/>
      <c r="AV397" s="319"/>
      <c r="AW397" s="319"/>
      <c r="AX397" s="319"/>
      <c r="AY397" s="319"/>
      <c r="AZ397" s="319"/>
      <c r="BA397" s="319"/>
      <c r="BB397" s="319"/>
      <c r="BC397" s="319"/>
      <c r="BD397" s="319"/>
      <c r="BE397" s="319"/>
      <c r="BF397" s="319"/>
      <c r="BG397" s="319"/>
      <c r="BH397" s="319"/>
      <c r="BI397" s="261"/>
      <c r="BJ397" s="261"/>
      <c r="BK397" s="261"/>
      <c r="BL397" s="261"/>
      <c r="BM397" s="261"/>
      <c r="BN397" s="261"/>
      <c r="BO397" s="261"/>
      <c r="BP397" s="261"/>
      <c r="BQ397" s="261"/>
      <c r="BR397" s="261"/>
      <c r="BS397" s="261"/>
      <c r="BT397" s="261"/>
      <c r="BU397" s="261"/>
      <c r="BV397" s="261"/>
      <c r="BW397" s="261"/>
    </row>
    <row r="398" spans="2:75">
      <c r="B398" s="230"/>
      <c r="C398" s="230"/>
      <c r="D398" s="230"/>
      <c r="E398" s="230"/>
      <c r="F398" s="230"/>
      <c r="G398" s="230"/>
      <c r="H398" s="230"/>
      <c r="I398" s="230"/>
      <c r="J398" s="230"/>
      <c r="K398" s="230"/>
      <c r="L398" s="230"/>
      <c r="M398" s="230"/>
      <c r="N398" s="315"/>
      <c r="O398" s="315"/>
      <c r="P398" s="315"/>
      <c r="Q398" s="315"/>
      <c r="R398" s="315"/>
      <c r="S398" s="315"/>
      <c r="T398" s="315"/>
      <c r="U398" s="315"/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5"/>
      <c r="AH398" s="315"/>
      <c r="AI398" s="315"/>
      <c r="AJ398" s="315"/>
      <c r="AK398" s="315"/>
      <c r="AL398" s="315"/>
      <c r="AM398" s="315"/>
      <c r="AN398" s="315"/>
      <c r="AO398" s="315"/>
      <c r="AP398" s="315"/>
      <c r="AQ398" s="320"/>
      <c r="AR398" s="319"/>
      <c r="AS398" s="319"/>
      <c r="AT398" s="319"/>
      <c r="AU398" s="319"/>
      <c r="AV398" s="319"/>
      <c r="AW398" s="319"/>
      <c r="AX398" s="319"/>
      <c r="AY398" s="319"/>
      <c r="AZ398" s="319"/>
      <c r="BA398" s="319"/>
      <c r="BB398" s="319"/>
      <c r="BC398" s="319"/>
      <c r="BD398" s="319"/>
      <c r="BE398" s="319"/>
      <c r="BF398" s="319"/>
      <c r="BG398" s="319"/>
      <c r="BH398" s="319"/>
      <c r="BI398" s="261"/>
      <c r="BJ398" s="261"/>
      <c r="BK398" s="261"/>
      <c r="BL398" s="261"/>
      <c r="BM398" s="261"/>
      <c r="BN398" s="261"/>
      <c r="BO398" s="261"/>
      <c r="BP398" s="261"/>
      <c r="BQ398" s="261"/>
      <c r="BR398" s="261"/>
      <c r="BS398" s="261"/>
      <c r="BT398" s="261"/>
      <c r="BU398" s="261"/>
      <c r="BV398" s="261"/>
      <c r="BW398" s="261"/>
    </row>
    <row r="399" spans="2:75">
      <c r="B399" s="230"/>
      <c r="C399" s="230"/>
      <c r="D399" s="230"/>
      <c r="E399" s="230"/>
      <c r="F399" s="230"/>
      <c r="G399" s="230"/>
      <c r="H399" s="230"/>
      <c r="I399" s="230"/>
      <c r="J399" s="230"/>
      <c r="K399" s="230"/>
      <c r="L399" s="230"/>
      <c r="M399" s="230"/>
      <c r="N399" s="315"/>
      <c r="O399" s="315"/>
      <c r="P399" s="315"/>
      <c r="Q399" s="315"/>
      <c r="R399" s="315"/>
      <c r="S399" s="315"/>
      <c r="T399" s="315"/>
      <c r="U399" s="315"/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5"/>
      <c r="AH399" s="315"/>
      <c r="AI399" s="315"/>
      <c r="AJ399" s="315"/>
      <c r="AK399" s="315"/>
      <c r="AL399" s="315"/>
      <c r="AM399" s="315"/>
      <c r="AN399" s="315"/>
      <c r="AO399" s="315"/>
      <c r="AP399" s="315"/>
      <c r="AQ399" s="320"/>
      <c r="AR399" s="319"/>
      <c r="AS399" s="319"/>
      <c r="AT399" s="319"/>
      <c r="AU399" s="319"/>
      <c r="AV399" s="319"/>
      <c r="AW399" s="319"/>
      <c r="AX399" s="319"/>
      <c r="AY399" s="319"/>
      <c r="AZ399" s="319"/>
      <c r="BA399" s="319"/>
      <c r="BB399" s="319"/>
      <c r="BC399" s="319"/>
      <c r="BD399" s="319"/>
      <c r="BE399" s="319"/>
      <c r="BF399" s="319"/>
      <c r="BG399" s="319"/>
      <c r="BH399" s="319"/>
      <c r="BI399" s="261"/>
      <c r="BJ399" s="261"/>
      <c r="BK399" s="261"/>
      <c r="BL399" s="261"/>
      <c r="BM399" s="261"/>
      <c r="BN399" s="261"/>
      <c r="BO399" s="261"/>
      <c r="BP399" s="261"/>
      <c r="BQ399" s="261"/>
      <c r="BR399" s="261"/>
      <c r="BS399" s="261"/>
      <c r="BT399" s="261"/>
      <c r="BU399" s="261"/>
      <c r="BV399" s="261"/>
      <c r="BW399" s="261"/>
    </row>
    <row r="400" spans="2:75">
      <c r="B400" s="230"/>
      <c r="C400" s="230"/>
      <c r="D400" s="230"/>
      <c r="E400" s="230"/>
      <c r="F400" s="230"/>
      <c r="G400" s="230"/>
      <c r="H400" s="230"/>
      <c r="I400" s="230"/>
      <c r="J400" s="230"/>
      <c r="K400" s="230"/>
      <c r="L400" s="230"/>
      <c r="M400" s="230"/>
      <c r="N400" s="315"/>
      <c r="O400" s="315"/>
      <c r="P400" s="315"/>
      <c r="Q400" s="315"/>
      <c r="R400" s="315"/>
      <c r="S400" s="315"/>
      <c r="T400" s="315"/>
      <c r="U400" s="315"/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5"/>
      <c r="AH400" s="315"/>
      <c r="AI400" s="315"/>
      <c r="AJ400" s="315"/>
      <c r="AK400" s="315"/>
      <c r="AL400" s="315"/>
      <c r="AM400" s="315"/>
      <c r="AN400" s="315"/>
      <c r="AO400" s="315"/>
      <c r="AP400" s="315"/>
      <c r="AQ400" s="320"/>
      <c r="AR400" s="319"/>
      <c r="AS400" s="319"/>
      <c r="AT400" s="319"/>
      <c r="AU400" s="319"/>
      <c r="AV400" s="319"/>
      <c r="AW400" s="319"/>
      <c r="AX400" s="319"/>
      <c r="AY400" s="319"/>
      <c r="AZ400" s="319"/>
      <c r="BA400" s="319"/>
      <c r="BB400" s="319"/>
      <c r="BC400" s="319"/>
      <c r="BD400" s="319"/>
      <c r="BE400" s="319"/>
      <c r="BF400" s="319"/>
      <c r="BG400" s="319"/>
      <c r="BH400" s="319"/>
      <c r="BI400" s="261"/>
      <c r="BJ400" s="261"/>
      <c r="BK400" s="261"/>
      <c r="BL400" s="261"/>
      <c r="BM400" s="261"/>
      <c r="BN400" s="261"/>
      <c r="BO400" s="261"/>
      <c r="BP400" s="261"/>
      <c r="BQ400" s="261"/>
      <c r="BR400" s="261"/>
      <c r="BS400" s="261"/>
      <c r="BT400" s="261"/>
      <c r="BU400" s="261"/>
      <c r="BV400" s="261"/>
      <c r="BW400" s="261"/>
    </row>
    <row r="401" spans="2:75">
      <c r="B401" s="230"/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  <c r="M401" s="230"/>
      <c r="N401" s="315"/>
      <c r="O401" s="315"/>
      <c r="P401" s="315"/>
      <c r="Q401" s="315"/>
      <c r="R401" s="315"/>
      <c r="S401" s="315"/>
      <c r="T401" s="315"/>
      <c r="U401" s="315"/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5"/>
      <c r="AH401" s="315"/>
      <c r="AI401" s="315"/>
      <c r="AJ401" s="315"/>
      <c r="AK401" s="315"/>
      <c r="AL401" s="315"/>
      <c r="AM401" s="315"/>
      <c r="AN401" s="315"/>
      <c r="AO401" s="315"/>
      <c r="AP401" s="315"/>
      <c r="AQ401" s="320"/>
      <c r="AR401" s="319"/>
      <c r="AS401" s="319"/>
      <c r="AT401" s="319"/>
      <c r="AU401" s="319"/>
      <c r="AV401" s="319"/>
      <c r="AW401" s="319"/>
      <c r="AX401" s="319"/>
      <c r="AY401" s="319"/>
      <c r="AZ401" s="319"/>
      <c r="BA401" s="319"/>
      <c r="BB401" s="319"/>
      <c r="BC401" s="319"/>
      <c r="BD401" s="319"/>
      <c r="BE401" s="319"/>
      <c r="BF401" s="319"/>
      <c r="BG401" s="319"/>
      <c r="BH401" s="319"/>
      <c r="BI401" s="261"/>
      <c r="BJ401" s="261"/>
      <c r="BK401" s="261"/>
      <c r="BL401" s="261"/>
      <c r="BM401" s="261"/>
      <c r="BN401" s="261"/>
      <c r="BO401" s="261"/>
      <c r="BP401" s="261"/>
      <c r="BQ401" s="261"/>
      <c r="BR401" s="261"/>
      <c r="BS401" s="261"/>
      <c r="BT401" s="261"/>
      <c r="BU401" s="261"/>
      <c r="BV401" s="261"/>
      <c r="BW401" s="261"/>
    </row>
    <row r="402" spans="2:75">
      <c r="B402" s="230"/>
      <c r="C402" s="230"/>
      <c r="D402" s="230"/>
      <c r="E402" s="230"/>
      <c r="F402" s="230"/>
      <c r="G402" s="230"/>
      <c r="H402" s="230"/>
      <c r="I402" s="230"/>
      <c r="J402" s="230"/>
      <c r="K402" s="230"/>
      <c r="L402" s="230"/>
      <c r="M402" s="230"/>
      <c r="N402" s="315"/>
      <c r="O402" s="315"/>
      <c r="P402" s="315"/>
      <c r="Q402" s="315"/>
      <c r="R402" s="315"/>
      <c r="S402" s="315"/>
      <c r="T402" s="315"/>
      <c r="U402" s="315"/>
      <c r="V402" s="315"/>
      <c r="W402" s="315"/>
      <c r="X402" s="315"/>
      <c r="Y402" s="315"/>
      <c r="Z402" s="315"/>
      <c r="AA402" s="315"/>
      <c r="AB402" s="315"/>
      <c r="AC402" s="315"/>
      <c r="AD402" s="315"/>
      <c r="AE402" s="315"/>
      <c r="AF402" s="315"/>
      <c r="AG402" s="315"/>
      <c r="AH402" s="315"/>
      <c r="AI402" s="315"/>
      <c r="AJ402" s="315"/>
      <c r="AK402" s="315"/>
      <c r="AL402" s="315"/>
      <c r="AM402" s="315"/>
      <c r="AN402" s="315"/>
      <c r="AO402" s="315"/>
      <c r="AP402" s="315"/>
      <c r="AQ402" s="320"/>
      <c r="AR402" s="319"/>
      <c r="AS402" s="319"/>
      <c r="AT402" s="319"/>
      <c r="AU402" s="319"/>
      <c r="AV402" s="319"/>
      <c r="AW402" s="319"/>
      <c r="AX402" s="319"/>
      <c r="AY402" s="319"/>
      <c r="AZ402" s="319"/>
      <c r="BA402" s="319"/>
      <c r="BB402" s="319"/>
      <c r="BC402" s="319"/>
      <c r="BD402" s="319"/>
      <c r="BE402" s="319"/>
      <c r="BF402" s="319"/>
      <c r="BG402" s="319"/>
      <c r="BH402" s="319"/>
      <c r="BI402" s="261"/>
      <c r="BJ402" s="261"/>
      <c r="BK402" s="261"/>
      <c r="BL402" s="261"/>
      <c r="BM402" s="261"/>
      <c r="BN402" s="261"/>
      <c r="BO402" s="261"/>
      <c r="BP402" s="261"/>
      <c r="BQ402" s="261"/>
      <c r="BR402" s="261"/>
      <c r="BS402" s="261"/>
      <c r="BT402" s="261"/>
      <c r="BU402" s="261"/>
      <c r="BV402" s="261"/>
      <c r="BW402" s="261"/>
    </row>
    <row r="403" spans="2:75">
      <c r="B403" s="230"/>
      <c r="C403" s="230"/>
      <c r="D403" s="230"/>
      <c r="E403" s="230"/>
      <c r="F403" s="230"/>
      <c r="G403" s="230"/>
      <c r="H403" s="230"/>
      <c r="I403" s="230"/>
      <c r="J403" s="230"/>
      <c r="K403" s="230"/>
      <c r="L403" s="230"/>
      <c r="M403" s="230"/>
      <c r="N403" s="315"/>
      <c r="O403" s="315"/>
      <c r="P403" s="315"/>
      <c r="Q403" s="315"/>
      <c r="R403" s="315"/>
      <c r="S403" s="315"/>
      <c r="T403" s="315"/>
      <c r="U403" s="315"/>
      <c r="V403" s="315"/>
      <c r="W403" s="315"/>
      <c r="X403" s="315"/>
      <c r="Y403" s="315"/>
      <c r="Z403" s="315"/>
      <c r="AA403" s="315"/>
      <c r="AB403" s="315"/>
      <c r="AC403" s="315"/>
      <c r="AD403" s="315"/>
      <c r="AE403" s="315"/>
      <c r="AF403" s="315"/>
      <c r="AG403" s="315"/>
      <c r="AH403" s="315"/>
      <c r="AI403" s="315"/>
      <c r="AJ403" s="315"/>
      <c r="AK403" s="315"/>
      <c r="AL403" s="315"/>
      <c r="AM403" s="315"/>
      <c r="AN403" s="315"/>
      <c r="AO403" s="315"/>
      <c r="AP403" s="315"/>
      <c r="AQ403" s="320"/>
      <c r="AR403" s="319"/>
      <c r="AS403" s="319"/>
      <c r="AT403" s="319"/>
      <c r="AU403" s="319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19"/>
      <c r="BI403" s="261"/>
      <c r="BJ403" s="261"/>
      <c r="BK403" s="261"/>
      <c r="BL403" s="261"/>
      <c r="BM403" s="261"/>
      <c r="BN403" s="261"/>
      <c r="BO403" s="261"/>
      <c r="BP403" s="261"/>
      <c r="BQ403" s="261"/>
      <c r="BR403" s="261"/>
      <c r="BS403" s="261"/>
      <c r="BT403" s="261"/>
      <c r="BU403" s="261"/>
      <c r="BV403" s="261"/>
      <c r="BW403" s="261"/>
    </row>
    <row r="404" spans="2:75">
      <c r="B404" s="230"/>
      <c r="C404" s="230"/>
      <c r="D404" s="230"/>
      <c r="E404" s="230"/>
      <c r="F404" s="230"/>
      <c r="G404" s="230"/>
      <c r="H404" s="230"/>
      <c r="I404" s="230"/>
      <c r="J404" s="230"/>
      <c r="K404" s="230"/>
      <c r="L404" s="230"/>
      <c r="M404" s="230"/>
      <c r="N404" s="315"/>
      <c r="O404" s="315"/>
      <c r="P404" s="315"/>
      <c r="Q404" s="315"/>
      <c r="R404" s="315"/>
      <c r="S404" s="315"/>
      <c r="T404" s="315"/>
      <c r="U404" s="315"/>
      <c r="V404" s="315"/>
      <c r="W404" s="315"/>
      <c r="X404" s="315"/>
      <c r="Y404" s="315"/>
      <c r="Z404" s="315"/>
      <c r="AA404" s="315"/>
      <c r="AB404" s="315"/>
      <c r="AC404" s="315"/>
      <c r="AD404" s="315"/>
      <c r="AE404" s="315"/>
      <c r="AF404" s="315"/>
      <c r="AG404" s="315"/>
      <c r="AH404" s="315"/>
      <c r="AI404" s="315"/>
      <c r="AJ404" s="315"/>
      <c r="AK404" s="315"/>
      <c r="AL404" s="315"/>
      <c r="AM404" s="315"/>
      <c r="AN404" s="315"/>
      <c r="AO404" s="315"/>
      <c r="AP404" s="315"/>
      <c r="AQ404" s="320"/>
      <c r="AR404" s="319"/>
      <c r="AS404" s="319"/>
      <c r="AT404" s="319"/>
      <c r="AU404" s="319"/>
      <c r="AV404" s="319"/>
      <c r="AW404" s="319"/>
      <c r="AX404" s="319"/>
      <c r="AY404" s="319"/>
      <c r="AZ404" s="319"/>
      <c r="BA404" s="319"/>
      <c r="BB404" s="319"/>
      <c r="BC404" s="319"/>
      <c r="BD404" s="319"/>
      <c r="BE404" s="319"/>
      <c r="BF404" s="319"/>
      <c r="BG404" s="319"/>
      <c r="BH404" s="319"/>
      <c r="BI404" s="261"/>
      <c r="BJ404" s="261"/>
      <c r="BK404" s="261"/>
      <c r="BL404" s="261"/>
      <c r="BM404" s="261"/>
      <c r="BN404" s="261"/>
      <c r="BO404" s="261"/>
      <c r="BP404" s="261"/>
      <c r="BQ404" s="261"/>
      <c r="BR404" s="261"/>
      <c r="BS404" s="261"/>
      <c r="BT404" s="261"/>
      <c r="BU404" s="261"/>
      <c r="BV404" s="261"/>
      <c r="BW404" s="261"/>
    </row>
    <row r="405" spans="2:75">
      <c r="B405" s="230"/>
      <c r="C405" s="230"/>
      <c r="D405" s="230"/>
      <c r="E405" s="230"/>
      <c r="F405" s="230"/>
      <c r="G405" s="230"/>
      <c r="H405" s="230"/>
      <c r="I405" s="230"/>
      <c r="J405" s="230"/>
      <c r="K405" s="230"/>
      <c r="L405" s="230"/>
      <c r="M405" s="230"/>
      <c r="N405" s="315"/>
      <c r="O405" s="315"/>
      <c r="P405" s="315"/>
      <c r="Q405" s="315"/>
      <c r="R405" s="315"/>
      <c r="S405" s="315"/>
      <c r="T405" s="315"/>
      <c r="U405" s="315"/>
      <c r="V405" s="315"/>
      <c r="W405" s="315"/>
      <c r="X405" s="315"/>
      <c r="Y405" s="315"/>
      <c r="Z405" s="315"/>
      <c r="AA405" s="315"/>
      <c r="AB405" s="315"/>
      <c r="AC405" s="315"/>
      <c r="AD405" s="315"/>
      <c r="AE405" s="315"/>
      <c r="AF405" s="315"/>
      <c r="AG405" s="315"/>
      <c r="AH405" s="315"/>
      <c r="AI405" s="315"/>
      <c r="AJ405" s="315"/>
      <c r="AK405" s="315"/>
      <c r="AL405" s="315"/>
      <c r="AM405" s="315"/>
      <c r="AN405" s="315"/>
      <c r="AO405" s="315"/>
      <c r="AP405" s="315"/>
      <c r="AQ405" s="320"/>
      <c r="AR405" s="319"/>
      <c r="AS405" s="319"/>
      <c r="AT405" s="319"/>
      <c r="AU405" s="319"/>
      <c r="AV405" s="319"/>
      <c r="AW405" s="319"/>
      <c r="AX405" s="319"/>
      <c r="AY405" s="319"/>
      <c r="AZ405" s="319"/>
      <c r="BA405" s="319"/>
      <c r="BB405" s="319"/>
      <c r="BC405" s="319"/>
      <c r="BD405" s="319"/>
      <c r="BE405" s="319"/>
      <c r="BF405" s="319"/>
      <c r="BG405" s="319"/>
      <c r="BH405" s="319"/>
      <c r="BI405" s="261"/>
      <c r="BJ405" s="261"/>
      <c r="BK405" s="261"/>
      <c r="BL405" s="261"/>
      <c r="BM405" s="261"/>
      <c r="BN405" s="261"/>
      <c r="BO405" s="261"/>
      <c r="BP405" s="261"/>
      <c r="BQ405" s="261"/>
      <c r="BR405" s="261"/>
      <c r="BS405" s="261"/>
      <c r="BT405" s="261"/>
      <c r="BU405" s="261"/>
      <c r="BV405" s="261"/>
      <c r="BW405" s="261"/>
    </row>
    <row r="406" spans="2:75">
      <c r="B406" s="230"/>
      <c r="C406" s="230"/>
      <c r="D406" s="230"/>
      <c r="E406" s="230"/>
      <c r="F406" s="230"/>
      <c r="G406" s="230"/>
      <c r="H406" s="230"/>
      <c r="I406" s="230"/>
      <c r="J406" s="230"/>
      <c r="K406" s="230"/>
      <c r="L406" s="230"/>
      <c r="M406" s="230"/>
      <c r="N406" s="315"/>
      <c r="O406" s="315"/>
      <c r="P406" s="315"/>
      <c r="Q406" s="315"/>
      <c r="R406" s="315"/>
      <c r="S406" s="315"/>
      <c r="T406" s="315"/>
      <c r="U406" s="315"/>
      <c r="V406" s="315"/>
      <c r="W406" s="315"/>
      <c r="X406" s="315"/>
      <c r="Y406" s="315"/>
      <c r="Z406" s="315"/>
      <c r="AA406" s="315"/>
      <c r="AB406" s="315"/>
      <c r="AC406" s="315"/>
      <c r="AD406" s="315"/>
      <c r="AE406" s="315"/>
      <c r="AF406" s="315"/>
      <c r="AG406" s="315"/>
      <c r="AH406" s="315"/>
      <c r="AI406" s="315"/>
      <c r="AJ406" s="315"/>
      <c r="AK406" s="315"/>
      <c r="AL406" s="315"/>
      <c r="AM406" s="315"/>
      <c r="AN406" s="315"/>
      <c r="AO406" s="315"/>
      <c r="AP406" s="315"/>
      <c r="AQ406" s="320"/>
      <c r="AR406" s="319"/>
      <c r="AS406" s="319"/>
      <c r="AT406" s="319"/>
      <c r="AU406" s="319"/>
      <c r="AV406" s="319"/>
      <c r="AW406" s="319"/>
      <c r="AX406" s="319"/>
      <c r="AY406" s="319"/>
      <c r="AZ406" s="319"/>
      <c r="BA406" s="319"/>
      <c r="BB406" s="319"/>
      <c r="BC406" s="319"/>
      <c r="BD406" s="319"/>
      <c r="BE406" s="319"/>
      <c r="BF406" s="319"/>
      <c r="BG406" s="319"/>
      <c r="BH406" s="319"/>
      <c r="BI406" s="261"/>
      <c r="BJ406" s="261"/>
      <c r="BK406" s="261"/>
      <c r="BL406" s="261"/>
      <c r="BM406" s="261"/>
      <c r="BN406" s="261"/>
      <c r="BO406" s="261"/>
      <c r="BP406" s="261"/>
      <c r="BQ406" s="261"/>
      <c r="BR406" s="261"/>
      <c r="BS406" s="261"/>
      <c r="BT406" s="261"/>
      <c r="BU406" s="261"/>
      <c r="BV406" s="261"/>
      <c r="BW406" s="261"/>
    </row>
    <row r="407" spans="2:75">
      <c r="B407" s="230"/>
      <c r="C407" s="230"/>
      <c r="D407" s="230"/>
      <c r="E407" s="230"/>
      <c r="F407" s="230"/>
      <c r="G407" s="230"/>
      <c r="H407" s="230"/>
      <c r="I407" s="230"/>
      <c r="J407" s="230"/>
      <c r="K407" s="230"/>
      <c r="L407" s="230"/>
      <c r="M407" s="230"/>
      <c r="N407" s="315"/>
      <c r="O407" s="315"/>
      <c r="P407" s="315"/>
      <c r="Q407" s="315"/>
      <c r="R407" s="315"/>
      <c r="S407" s="315"/>
      <c r="T407" s="315"/>
      <c r="U407" s="315"/>
      <c r="V407" s="315"/>
      <c r="W407" s="315"/>
      <c r="X407" s="315"/>
      <c r="Y407" s="315"/>
      <c r="Z407" s="315"/>
      <c r="AA407" s="315"/>
      <c r="AB407" s="315"/>
      <c r="AC407" s="315"/>
      <c r="AD407" s="315"/>
      <c r="AE407" s="315"/>
      <c r="AF407" s="315"/>
      <c r="AG407" s="315"/>
      <c r="AH407" s="315"/>
      <c r="AI407" s="315"/>
      <c r="AJ407" s="315"/>
      <c r="AK407" s="315"/>
      <c r="AL407" s="315"/>
      <c r="AM407" s="315"/>
      <c r="AN407" s="315"/>
      <c r="AO407" s="315"/>
      <c r="AP407" s="315"/>
      <c r="AQ407" s="320"/>
      <c r="AR407" s="319"/>
      <c r="AS407" s="319"/>
      <c r="AT407" s="319"/>
      <c r="AU407" s="319"/>
      <c r="AV407" s="319"/>
      <c r="AW407" s="319"/>
      <c r="AX407" s="319"/>
      <c r="AY407" s="319"/>
      <c r="AZ407" s="319"/>
      <c r="BA407" s="319"/>
      <c r="BB407" s="319"/>
      <c r="BC407" s="319"/>
      <c r="BD407" s="319"/>
      <c r="BE407" s="319"/>
      <c r="BF407" s="319"/>
      <c r="BG407" s="319"/>
      <c r="BH407" s="319"/>
      <c r="BI407" s="261"/>
      <c r="BJ407" s="261"/>
      <c r="BK407" s="261"/>
      <c r="BL407" s="261"/>
      <c r="BM407" s="261"/>
      <c r="BN407" s="261"/>
      <c r="BO407" s="261"/>
      <c r="BP407" s="261"/>
      <c r="BQ407" s="261"/>
      <c r="BR407" s="261"/>
      <c r="BS407" s="261"/>
      <c r="BT407" s="261"/>
      <c r="BU407" s="261"/>
      <c r="BV407" s="261"/>
      <c r="BW407" s="261"/>
    </row>
    <row r="408" spans="2:75">
      <c r="B408" s="230"/>
      <c r="C408" s="230"/>
      <c r="D408" s="230"/>
      <c r="E408" s="230"/>
      <c r="F408" s="230"/>
      <c r="G408" s="230"/>
      <c r="H408" s="230"/>
      <c r="I408" s="230"/>
      <c r="J408" s="230"/>
      <c r="K408" s="230"/>
      <c r="L408" s="230"/>
      <c r="M408" s="230"/>
      <c r="N408" s="315"/>
      <c r="O408" s="315"/>
      <c r="P408" s="315"/>
      <c r="Q408" s="315"/>
      <c r="R408" s="315"/>
      <c r="S408" s="315"/>
      <c r="T408" s="315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5"/>
      <c r="AH408" s="315"/>
      <c r="AI408" s="315"/>
      <c r="AJ408" s="315"/>
      <c r="AK408" s="315"/>
      <c r="AL408" s="315"/>
      <c r="AM408" s="315"/>
      <c r="AN408" s="315"/>
      <c r="AO408" s="315"/>
      <c r="AP408" s="315"/>
      <c r="AQ408" s="320"/>
      <c r="AR408" s="319"/>
      <c r="AS408" s="319"/>
      <c r="AT408" s="319"/>
      <c r="AU408" s="319"/>
      <c r="AV408" s="319"/>
      <c r="AW408" s="319"/>
      <c r="AX408" s="319"/>
      <c r="AY408" s="319"/>
      <c r="AZ408" s="319"/>
      <c r="BA408" s="319"/>
      <c r="BB408" s="319"/>
      <c r="BC408" s="319"/>
      <c r="BD408" s="319"/>
      <c r="BE408" s="319"/>
      <c r="BF408" s="319"/>
      <c r="BG408" s="319"/>
      <c r="BH408" s="319"/>
      <c r="BI408" s="261"/>
      <c r="BJ408" s="261"/>
      <c r="BK408" s="261"/>
      <c r="BL408" s="261"/>
      <c r="BM408" s="261"/>
      <c r="BN408" s="261"/>
      <c r="BO408" s="261"/>
      <c r="BP408" s="261"/>
      <c r="BQ408" s="261"/>
      <c r="BR408" s="261"/>
      <c r="BS408" s="261"/>
      <c r="BT408" s="261"/>
      <c r="BU408" s="261"/>
      <c r="BV408" s="261"/>
      <c r="BW408" s="261"/>
    </row>
    <row r="409" spans="2:75">
      <c r="B409" s="230"/>
      <c r="C409" s="230"/>
      <c r="D409" s="230"/>
      <c r="E409" s="230"/>
      <c r="F409" s="230"/>
      <c r="G409" s="230"/>
      <c r="H409" s="230"/>
      <c r="I409" s="230"/>
      <c r="J409" s="230"/>
      <c r="K409" s="230"/>
      <c r="L409" s="230"/>
      <c r="M409" s="230"/>
      <c r="N409" s="315"/>
      <c r="O409" s="315"/>
      <c r="P409" s="315"/>
      <c r="Q409" s="315"/>
      <c r="R409" s="315"/>
      <c r="S409" s="315"/>
      <c r="T409" s="315"/>
      <c r="U409" s="315"/>
      <c r="V409" s="315"/>
      <c r="W409" s="315"/>
      <c r="X409" s="315"/>
      <c r="Y409" s="315"/>
      <c r="Z409" s="315"/>
      <c r="AA409" s="315"/>
      <c r="AB409" s="315"/>
      <c r="AC409" s="315"/>
      <c r="AD409" s="315"/>
      <c r="AE409" s="315"/>
      <c r="AF409" s="315"/>
      <c r="AG409" s="315"/>
      <c r="AH409" s="315"/>
      <c r="AI409" s="315"/>
      <c r="AJ409" s="315"/>
      <c r="AK409" s="315"/>
      <c r="AL409" s="315"/>
      <c r="AM409" s="315"/>
      <c r="AN409" s="315"/>
      <c r="AO409" s="315"/>
      <c r="AP409" s="315"/>
      <c r="AQ409" s="320"/>
      <c r="AR409" s="319"/>
      <c r="AS409" s="319"/>
      <c r="AT409" s="319"/>
      <c r="AU409" s="319"/>
      <c r="AV409" s="319"/>
      <c r="AW409" s="319"/>
      <c r="AX409" s="319"/>
      <c r="AY409" s="319"/>
      <c r="AZ409" s="319"/>
      <c r="BA409" s="319"/>
      <c r="BB409" s="319"/>
      <c r="BC409" s="319"/>
      <c r="BD409" s="319"/>
      <c r="BE409" s="319"/>
      <c r="BF409" s="319"/>
      <c r="BG409" s="319"/>
      <c r="BH409" s="319"/>
      <c r="BI409" s="261"/>
      <c r="BJ409" s="261"/>
      <c r="BK409" s="261"/>
      <c r="BL409" s="261"/>
      <c r="BM409" s="261"/>
      <c r="BN409" s="261"/>
      <c r="BO409" s="261"/>
      <c r="BP409" s="261"/>
      <c r="BQ409" s="261"/>
      <c r="BR409" s="261"/>
      <c r="BS409" s="261"/>
      <c r="BT409" s="261"/>
      <c r="BU409" s="261"/>
      <c r="BV409" s="261"/>
      <c r="BW409" s="261"/>
    </row>
    <row r="410" spans="2:75">
      <c r="B410" s="230"/>
      <c r="C410" s="230"/>
      <c r="D410" s="230"/>
      <c r="E410" s="230"/>
      <c r="F410" s="230"/>
      <c r="G410" s="230"/>
      <c r="H410" s="230"/>
      <c r="I410" s="230"/>
      <c r="J410" s="230"/>
      <c r="K410" s="230"/>
      <c r="L410" s="230"/>
      <c r="M410" s="230"/>
      <c r="N410" s="315"/>
      <c r="O410" s="315"/>
      <c r="P410" s="315"/>
      <c r="Q410" s="315"/>
      <c r="R410" s="315"/>
      <c r="S410" s="315"/>
      <c r="T410" s="315"/>
      <c r="U410" s="315"/>
      <c r="V410" s="315"/>
      <c r="W410" s="315"/>
      <c r="X410" s="315"/>
      <c r="Y410" s="315"/>
      <c r="Z410" s="315"/>
      <c r="AA410" s="315"/>
      <c r="AB410" s="315"/>
      <c r="AC410" s="315"/>
      <c r="AD410" s="315"/>
      <c r="AE410" s="315"/>
      <c r="AF410" s="315"/>
      <c r="AG410" s="315"/>
      <c r="AH410" s="315"/>
      <c r="AI410" s="315"/>
      <c r="AJ410" s="315"/>
      <c r="AK410" s="315"/>
      <c r="AL410" s="315"/>
      <c r="AM410" s="315"/>
      <c r="AN410" s="315"/>
      <c r="AO410" s="315"/>
      <c r="AP410" s="315"/>
      <c r="AQ410" s="320"/>
      <c r="AR410" s="319"/>
      <c r="AS410" s="319"/>
      <c r="AT410" s="319"/>
      <c r="AU410" s="319"/>
      <c r="AV410" s="319"/>
      <c r="AW410" s="319"/>
      <c r="AX410" s="319"/>
      <c r="AY410" s="319"/>
      <c r="AZ410" s="319"/>
      <c r="BA410" s="319"/>
      <c r="BB410" s="319"/>
      <c r="BC410" s="319"/>
      <c r="BD410" s="319"/>
      <c r="BE410" s="319"/>
      <c r="BF410" s="319"/>
      <c r="BG410" s="319"/>
      <c r="BH410" s="319"/>
      <c r="BI410" s="261"/>
      <c r="BJ410" s="261"/>
      <c r="BK410" s="261"/>
      <c r="BL410" s="261"/>
      <c r="BM410" s="261"/>
      <c r="BN410" s="261"/>
      <c r="BO410" s="261"/>
      <c r="BP410" s="261"/>
      <c r="BQ410" s="261"/>
      <c r="BR410" s="261"/>
      <c r="BS410" s="261"/>
      <c r="BT410" s="261"/>
      <c r="BU410" s="261"/>
      <c r="BV410" s="261"/>
      <c r="BW410" s="261"/>
    </row>
    <row r="411" spans="2:75">
      <c r="B411" s="230"/>
      <c r="C411" s="230"/>
      <c r="D411" s="230"/>
      <c r="E411" s="230"/>
      <c r="F411" s="230"/>
      <c r="G411" s="230"/>
      <c r="H411" s="230"/>
      <c r="I411" s="230"/>
      <c r="J411" s="230"/>
      <c r="K411" s="230"/>
      <c r="L411" s="230"/>
      <c r="M411" s="230"/>
      <c r="N411" s="315"/>
      <c r="O411" s="315"/>
      <c r="P411" s="315"/>
      <c r="Q411" s="315"/>
      <c r="R411" s="315"/>
      <c r="S411" s="315"/>
      <c r="T411" s="315"/>
      <c r="U411" s="315"/>
      <c r="V411" s="315"/>
      <c r="W411" s="315"/>
      <c r="X411" s="315"/>
      <c r="Y411" s="315"/>
      <c r="Z411" s="315"/>
      <c r="AA411" s="315"/>
      <c r="AB411" s="315"/>
      <c r="AC411" s="315"/>
      <c r="AD411" s="315"/>
      <c r="AE411" s="315"/>
      <c r="AF411" s="315"/>
      <c r="AG411" s="315"/>
      <c r="AH411" s="315"/>
      <c r="AI411" s="315"/>
      <c r="AJ411" s="315"/>
      <c r="AK411" s="315"/>
      <c r="AL411" s="315"/>
      <c r="AM411" s="315"/>
      <c r="AN411" s="315"/>
      <c r="AO411" s="315"/>
      <c r="AP411" s="315"/>
      <c r="AQ411" s="320"/>
      <c r="AR411" s="319"/>
      <c r="AS411" s="319"/>
      <c r="AT411" s="319"/>
      <c r="AU411" s="319"/>
      <c r="AV411" s="319"/>
      <c r="AW411" s="319"/>
      <c r="AX411" s="319"/>
      <c r="AY411" s="319"/>
      <c r="AZ411" s="319"/>
      <c r="BA411" s="319"/>
      <c r="BB411" s="319"/>
      <c r="BC411" s="319"/>
      <c r="BD411" s="319"/>
      <c r="BE411" s="319"/>
      <c r="BF411" s="319"/>
      <c r="BG411" s="319"/>
      <c r="BH411" s="319"/>
      <c r="BI411" s="261"/>
      <c r="BJ411" s="261"/>
      <c r="BK411" s="261"/>
      <c r="BL411" s="261"/>
      <c r="BM411" s="261"/>
      <c r="BN411" s="261"/>
      <c r="BO411" s="261"/>
      <c r="BP411" s="261"/>
      <c r="BQ411" s="261"/>
      <c r="BR411" s="261"/>
      <c r="BS411" s="261"/>
      <c r="BT411" s="261"/>
      <c r="BU411" s="261"/>
      <c r="BV411" s="261"/>
      <c r="BW411" s="261"/>
    </row>
    <row r="412" spans="2:75">
      <c r="B412" s="230"/>
      <c r="C412" s="230"/>
      <c r="D412" s="230"/>
      <c r="E412" s="230"/>
      <c r="F412" s="230"/>
      <c r="G412" s="230"/>
      <c r="H412" s="230"/>
      <c r="I412" s="230"/>
      <c r="J412" s="230"/>
      <c r="K412" s="230"/>
      <c r="L412" s="230"/>
      <c r="M412" s="230"/>
      <c r="N412" s="315"/>
      <c r="O412" s="315"/>
      <c r="P412" s="315"/>
      <c r="Q412" s="315"/>
      <c r="R412" s="315"/>
      <c r="S412" s="315"/>
      <c r="T412" s="315"/>
      <c r="U412" s="315"/>
      <c r="V412" s="315"/>
      <c r="W412" s="315"/>
      <c r="X412" s="315"/>
      <c r="Y412" s="315"/>
      <c r="Z412" s="315"/>
      <c r="AA412" s="315"/>
      <c r="AB412" s="315"/>
      <c r="AC412" s="315"/>
      <c r="AD412" s="315"/>
      <c r="AE412" s="315"/>
      <c r="AF412" s="315"/>
      <c r="AG412" s="315"/>
      <c r="AH412" s="315"/>
      <c r="AI412" s="315"/>
      <c r="AJ412" s="315"/>
      <c r="AK412" s="315"/>
      <c r="AL412" s="315"/>
      <c r="AM412" s="315"/>
      <c r="AN412" s="315"/>
      <c r="AO412" s="315"/>
      <c r="AP412" s="315"/>
      <c r="AQ412" s="320"/>
      <c r="AR412" s="319"/>
      <c r="AS412" s="319"/>
      <c r="AT412" s="319"/>
      <c r="AU412" s="319"/>
      <c r="AV412" s="319"/>
      <c r="AW412" s="319"/>
      <c r="AX412" s="319"/>
      <c r="AY412" s="319"/>
      <c r="AZ412" s="319"/>
      <c r="BA412" s="319"/>
      <c r="BB412" s="319"/>
      <c r="BC412" s="319"/>
      <c r="BD412" s="319"/>
      <c r="BE412" s="319"/>
      <c r="BF412" s="319"/>
      <c r="BG412" s="319"/>
      <c r="BH412" s="319"/>
      <c r="BI412" s="261"/>
      <c r="BJ412" s="261"/>
      <c r="BK412" s="261"/>
      <c r="BL412" s="261"/>
      <c r="BM412" s="261"/>
      <c r="BN412" s="261"/>
      <c r="BO412" s="261"/>
      <c r="BP412" s="261"/>
      <c r="BQ412" s="261"/>
      <c r="BR412" s="261"/>
      <c r="BS412" s="261"/>
      <c r="BT412" s="261"/>
      <c r="BU412" s="261"/>
      <c r="BV412" s="261"/>
      <c r="BW412" s="261"/>
    </row>
    <row r="413" spans="2:75">
      <c r="B413" s="230"/>
      <c r="C413" s="230"/>
      <c r="D413" s="230"/>
      <c r="E413" s="230"/>
      <c r="F413" s="230"/>
      <c r="G413" s="230"/>
      <c r="H413" s="230"/>
      <c r="I413" s="230"/>
      <c r="J413" s="230"/>
      <c r="K413" s="230"/>
      <c r="L413" s="230"/>
      <c r="M413" s="230"/>
      <c r="N413" s="315"/>
      <c r="O413" s="315"/>
      <c r="P413" s="315"/>
      <c r="Q413" s="315"/>
      <c r="R413" s="315"/>
      <c r="S413" s="315"/>
      <c r="T413" s="315"/>
      <c r="U413" s="315"/>
      <c r="V413" s="315"/>
      <c r="W413" s="315"/>
      <c r="X413" s="315"/>
      <c r="Y413" s="315"/>
      <c r="Z413" s="315"/>
      <c r="AA413" s="315"/>
      <c r="AB413" s="315"/>
      <c r="AC413" s="315"/>
      <c r="AD413" s="315"/>
      <c r="AE413" s="315"/>
      <c r="AF413" s="315"/>
      <c r="AG413" s="315"/>
      <c r="AH413" s="315"/>
      <c r="AI413" s="315"/>
      <c r="AJ413" s="315"/>
      <c r="AK413" s="315"/>
      <c r="AL413" s="315"/>
      <c r="AM413" s="315"/>
      <c r="AN413" s="315"/>
      <c r="AO413" s="315"/>
      <c r="AP413" s="315"/>
      <c r="AQ413" s="320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261"/>
      <c r="BJ413" s="261"/>
      <c r="BK413" s="261"/>
      <c r="BL413" s="261"/>
      <c r="BM413" s="261"/>
      <c r="BN413" s="261"/>
      <c r="BO413" s="261"/>
      <c r="BP413" s="261"/>
      <c r="BQ413" s="261"/>
      <c r="BR413" s="261"/>
      <c r="BS413" s="261"/>
      <c r="BT413" s="261"/>
      <c r="BU413" s="261"/>
      <c r="BV413" s="261"/>
      <c r="BW413" s="261"/>
    </row>
    <row r="414" spans="2:75">
      <c r="B414" s="230"/>
      <c r="C414" s="230"/>
      <c r="D414" s="230"/>
      <c r="E414" s="230"/>
      <c r="F414" s="230"/>
      <c r="G414" s="230"/>
      <c r="H414" s="230"/>
      <c r="I414" s="230"/>
      <c r="J414" s="230"/>
      <c r="K414" s="230"/>
      <c r="L414" s="230"/>
      <c r="M414" s="230"/>
      <c r="N414" s="315"/>
      <c r="O414" s="315"/>
      <c r="P414" s="315"/>
      <c r="Q414" s="315"/>
      <c r="R414" s="315"/>
      <c r="S414" s="315"/>
      <c r="T414" s="315"/>
      <c r="U414" s="315"/>
      <c r="V414" s="315"/>
      <c r="W414" s="315"/>
      <c r="X414" s="315"/>
      <c r="Y414" s="315"/>
      <c r="Z414" s="315"/>
      <c r="AA414" s="315"/>
      <c r="AB414" s="315"/>
      <c r="AC414" s="315"/>
      <c r="AD414" s="315"/>
      <c r="AE414" s="315"/>
      <c r="AF414" s="315"/>
      <c r="AG414" s="315"/>
      <c r="AH414" s="315"/>
      <c r="AI414" s="315"/>
      <c r="AJ414" s="315"/>
      <c r="AK414" s="315"/>
      <c r="AL414" s="315"/>
      <c r="AM414" s="315"/>
      <c r="AN414" s="315"/>
      <c r="AO414" s="315"/>
      <c r="AP414" s="315"/>
      <c r="AQ414" s="320"/>
      <c r="AR414" s="319"/>
      <c r="AS414" s="319"/>
      <c r="AT414" s="319"/>
      <c r="AU414" s="319"/>
      <c r="AV414" s="319"/>
      <c r="AW414" s="319"/>
      <c r="AX414" s="319"/>
      <c r="AY414" s="319"/>
      <c r="AZ414" s="319"/>
      <c r="BA414" s="319"/>
      <c r="BB414" s="319"/>
      <c r="BC414" s="319"/>
      <c r="BD414" s="319"/>
      <c r="BE414" s="319"/>
      <c r="BF414" s="319"/>
      <c r="BG414" s="319"/>
      <c r="BH414" s="319"/>
      <c r="BI414" s="261"/>
      <c r="BJ414" s="261"/>
      <c r="BK414" s="261"/>
      <c r="BL414" s="261"/>
      <c r="BM414" s="261"/>
      <c r="BN414" s="261"/>
      <c r="BO414" s="261"/>
      <c r="BP414" s="261"/>
      <c r="BQ414" s="261"/>
      <c r="BR414" s="261"/>
      <c r="BS414" s="261"/>
      <c r="BT414" s="261"/>
      <c r="BU414" s="261"/>
      <c r="BV414" s="261"/>
      <c r="BW414" s="261"/>
    </row>
    <row r="415" spans="2:75">
      <c r="B415" s="230"/>
      <c r="C415" s="230"/>
      <c r="D415" s="230"/>
      <c r="E415" s="230"/>
      <c r="F415" s="230"/>
      <c r="G415" s="230"/>
      <c r="H415" s="230"/>
      <c r="I415" s="230"/>
      <c r="J415" s="230"/>
      <c r="K415" s="230"/>
      <c r="L415" s="230"/>
      <c r="M415" s="230"/>
      <c r="N415" s="315"/>
      <c r="O415" s="315"/>
      <c r="P415" s="315"/>
      <c r="Q415" s="315"/>
      <c r="R415" s="315"/>
      <c r="S415" s="315"/>
      <c r="T415" s="315"/>
      <c r="U415" s="315"/>
      <c r="V415" s="315"/>
      <c r="W415" s="315"/>
      <c r="X415" s="315"/>
      <c r="Y415" s="315"/>
      <c r="Z415" s="315"/>
      <c r="AA415" s="315"/>
      <c r="AB415" s="315"/>
      <c r="AC415" s="315"/>
      <c r="AD415" s="315"/>
      <c r="AE415" s="315"/>
      <c r="AF415" s="315"/>
      <c r="AG415" s="315"/>
      <c r="AH415" s="315"/>
      <c r="AI415" s="315"/>
      <c r="AJ415" s="315"/>
      <c r="AK415" s="315"/>
      <c r="AL415" s="315"/>
      <c r="AM415" s="315"/>
      <c r="AN415" s="315"/>
      <c r="AO415" s="315"/>
      <c r="AP415" s="315"/>
      <c r="AQ415" s="320"/>
      <c r="AR415" s="319"/>
      <c r="AS415" s="319"/>
      <c r="AT415" s="319"/>
      <c r="AU415" s="319"/>
      <c r="AV415" s="319"/>
      <c r="AW415" s="319"/>
      <c r="AX415" s="319"/>
      <c r="AY415" s="319"/>
      <c r="AZ415" s="319"/>
      <c r="BA415" s="319"/>
      <c r="BB415" s="319"/>
      <c r="BC415" s="319"/>
      <c r="BD415" s="319"/>
      <c r="BE415" s="319"/>
      <c r="BF415" s="319"/>
      <c r="BG415" s="319"/>
      <c r="BH415" s="319"/>
      <c r="BI415" s="261"/>
      <c r="BJ415" s="261"/>
      <c r="BK415" s="261"/>
      <c r="BL415" s="261"/>
      <c r="BM415" s="261"/>
      <c r="BN415" s="261"/>
      <c r="BO415" s="261"/>
      <c r="BP415" s="261"/>
      <c r="BQ415" s="261"/>
      <c r="BR415" s="261"/>
      <c r="BS415" s="261"/>
      <c r="BT415" s="261"/>
      <c r="BU415" s="261"/>
      <c r="BV415" s="261"/>
      <c r="BW415" s="261"/>
    </row>
    <row r="416" spans="2:75"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315"/>
      <c r="O416" s="315"/>
      <c r="P416" s="315"/>
      <c r="Q416" s="315"/>
      <c r="R416" s="315"/>
      <c r="S416" s="315"/>
      <c r="T416" s="315"/>
      <c r="U416" s="315"/>
      <c r="V416" s="315"/>
      <c r="W416" s="315"/>
      <c r="X416" s="315"/>
      <c r="Y416" s="315"/>
      <c r="Z416" s="315"/>
      <c r="AA416" s="315"/>
      <c r="AB416" s="315"/>
      <c r="AC416" s="315"/>
      <c r="AD416" s="315"/>
      <c r="AE416" s="315"/>
      <c r="AF416" s="315"/>
      <c r="AG416" s="315"/>
      <c r="AH416" s="315"/>
      <c r="AI416" s="315"/>
      <c r="AJ416" s="315"/>
      <c r="AK416" s="315"/>
      <c r="AL416" s="315"/>
      <c r="AM416" s="315"/>
      <c r="AN416" s="315"/>
      <c r="AO416" s="315"/>
      <c r="AP416" s="315"/>
      <c r="AQ416" s="320"/>
      <c r="AR416" s="319"/>
      <c r="AS416" s="319"/>
      <c r="AT416" s="319"/>
      <c r="AU416" s="319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19"/>
      <c r="BI416" s="261"/>
      <c r="BJ416" s="261"/>
      <c r="BK416" s="261"/>
      <c r="BL416" s="261"/>
      <c r="BM416" s="261"/>
      <c r="BN416" s="261"/>
      <c r="BO416" s="261"/>
      <c r="BP416" s="261"/>
      <c r="BQ416" s="261"/>
      <c r="BR416" s="261"/>
      <c r="BS416" s="261"/>
      <c r="BT416" s="261"/>
      <c r="BU416" s="261"/>
      <c r="BV416" s="261"/>
      <c r="BW416" s="261"/>
    </row>
    <row r="417" spans="2:75">
      <c r="B417" s="230"/>
      <c r="C417" s="230"/>
      <c r="D417" s="230"/>
      <c r="E417" s="230"/>
      <c r="F417" s="230"/>
      <c r="G417" s="230"/>
      <c r="H417" s="230"/>
      <c r="I417" s="230"/>
      <c r="J417" s="230"/>
      <c r="K417" s="230"/>
      <c r="L417" s="230"/>
      <c r="M417" s="230"/>
      <c r="N417" s="315"/>
      <c r="O417" s="315"/>
      <c r="P417" s="315"/>
      <c r="Q417" s="315"/>
      <c r="R417" s="315"/>
      <c r="S417" s="315"/>
      <c r="T417" s="315"/>
      <c r="U417" s="315"/>
      <c r="V417" s="315"/>
      <c r="W417" s="315"/>
      <c r="X417" s="315"/>
      <c r="Y417" s="315"/>
      <c r="Z417" s="315"/>
      <c r="AA417" s="315"/>
      <c r="AB417" s="315"/>
      <c r="AC417" s="315"/>
      <c r="AD417" s="315"/>
      <c r="AE417" s="315"/>
      <c r="AF417" s="315"/>
      <c r="AG417" s="315"/>
      <c r="AH417" s="315"/>
      <c r="AI417" s="315"/>
      <c r="AJ417" s="315"/>
      <c r="AK417" s="315"/>
      <c r="AL417" s="315"/>
      <c r="AM417" s="315"/>
      <c r="AN417" s="315"/>
      <c r="AO417" s="315"/>
      <c r="AP417" s="315"/>
      <c r="AQ417" s="320"/>
      <c r="AR417" s="319"/>
      <c r="AS417" s="319"/>
      <c r="AT417" s="319"/>
      <c r="AU417" s="319"/>
      <c r="AV417" s="319"/>
      <c r="AW417" s="319"/>
      <c r="AX417" s="319"/>
      <c r="AY417" s="319"/>
      <c r="AZ417" s="319"/>
      <c r="BA417" s="319"/>
      <c r="BB417" s="319"/>
      <c r="BC417" s="319"/>
      <c r="BD417" s="319"/>
      <c r="BE417" s="319"/>
      <c r="BF417" s="319"/>
      <c r="BG417" s="319"/>
      <c r="BH417" s="319"/>
      <c r="BI417" s="261"/>
      <c r="BJ417" s="261"/>
      <c r="BK417" s="261"/>
      <c r="BL417" s="261"/>
      <c r="BM417" s="261"/>
      <c r="BN417" s="261"/>
      <c r="BO417" s="261"/>
      <c r="BP417" s="261"/>
      <c r="BQ417" s="261"/>
      <c r="BR417" s="261"/>
      <c r="BS417" s="261"/>
      <c r="BT417" s="261"/>
      <c r="BU417" s="261"/>
      <c r="BV417" s="261"/>
      <c r="BW417" s="261"/>
    </row>
    <row r="418" spans="2:75">
      <c r="B418" s="230"/>
      <c r="C418" s="230"/>
      <c r="D418" s="230"/>
      <c r="E418" s="230"/>
      <c r="F418" s="230"/>
      <c r="G418" s="230"/>
      <c r="H418" s="230"/>
      <c r="I418" s="230"/>
      <c r="J418" s="230"/>
      <c r="K418" s="230"/>
      <c r="L418" s="230"/>
      <c r="M418" s="230"/>
      <c r="N418" s="315"/>
      <c r="O418" s="315"/>
      <c r="P418" s="315"/>
      <c r="Q418" s="315"/>
      <c r="R418" s="315"/>
      <c r="S418" s="315"/>
      <c r="T418" s="315"/>
      <c r="U418" s="315"/>
      <c r="V418" s="315"/>
      <c r="W418" s="315"/>
      <c r="X418" s="315"/>
      <c r="Y418" s="315"/>
      <c r="Z418" s="315"/>
      <c r="AA418" s="315"/>
      <c r="AB418" s="315"/>
      <c r="AC418" s="315"/>
      <c r="AD418" s="315"/>
      <c r="AE418" s="315"/>
      <c r="AF418" s="315"/>
      <c r="AG418" s="315"/>
      <c r="AH418" s="315"/>
      <c r="AI418" s="315"/>
      <c r="AJ418" s="315"/>
      <c r="AK418" s="315"/>
      <c r="AL418" s="315"/>
      <c r="AM418" s="315"/>
      <c r="AN418" s="315"/>
      <c r="AO418" s="315"/>
      <c r="AP418" s="315"/>
      <c r="AQ418" s="320"/>
      <c r="AR418" s="319"/>
      <c r="AS418" s="319"/>
      <c r="AT418" s="319"/>
      <c r="AU418" s="319"/>
      <c r="AV418" s="319"/>
      <c r="AW418" s="319"/>
      <c r="AX418" s="319"/>
      <c r="AY418" s="319"/>
      <c r="AZ418" s="319"/>
      <c r="BA418" s="319"/>
      <c r="BB418" s="319"/>
      <c r="BC418" s="319"/>
      <c r="BD418" s="319"/>
      <c r="BE418" s="319"/>
      <c r="BF418" s="319"/>
      <c r="BG418" s="319"/>
      <c r="BH418" s="319"/>
      <c r="BI418" s="261"/>
      <c r="BJ418" s="261"/>
      <c r="BK418" s="261"/>
      <c r="BL418" s="261"/>
      <c r="BM418" s="261"/>
      <c r="BN418" s="261"/>
      <c r="BO418" s="261"/>
      <c r="BP418" s="261"/>
      <c r="BQ418" s="261"/>
      <c r="BR418" s="261"/>
      <c r="BS418" s="261"/>
      <c r="BT418" s="261"/>
      <c r="BU418" s="261"/>
      <c r="BV418" s="261"/>
      <c r="BW418" s="261"/>
    </row>
    <row r="419" spans="2:75">
      <c r="B419" s="230"/>
      <c r="C419" s="230"/>
      <c r="D419" s="230"/>
      <c r="E419" s="230"/>
      <c r="F419" s="230"/>
      <c r="G419" s="230"/>
      <c r="H419" s="230"/>
      <c r="I419" s="230"/>
      <c r="J419" s="230"/>
      <c r="K419" s="230"/>
      <c r="L419" s="230"/>
      <c r="M419" s="230"/>
      <c r="N419" s="315"/>
      <c r="O419" s="315"/>
      <c r="P419" s="315"/>
      <c r="Q419" s="315"/>
      <c r="R419" s="315"/>
      <c r="S419" s="315"/>
      <c r="T419" s="315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5"/>
      <c r="AH419" s="315"/>
      <c r="AI419" s="315"/>
      <c r="AJ419" s="315"/>
      <c r="AK419" s="315"/>
      <c r="AL419" s="315"/>
      <c r="AM419" s="315"/>
      <c r="AN419" s="315"/>
      <c r="AO419" s="315"/>
      <c r="AP419" s="315"/>
      <c r="AQ419" s="320"/>
      <c r="AR419" s="319"/>
      <c r="AS419" s="319"/>
      <c r="AT419" s="319"/>
      <c r="AU419" s="319"/>
      <c r="AV419" s="319"/>
      <c r="AW419" s="319"/>
      <c r="AX419" s="319"/>
      <c r="AY419" s="319"/>
      <c r="AZ419" s="319"/>
      <c r="BA419" s="319"/>
      <c r="BB419" s="319"/>
      <c r="BC419" s="319"/>
      <c r="BD419" s="319"/>
      <c r="BE419" s="319"/>
      <c r="BF419" s="319"/>
      <c r="BG419" s="319"/>
      <c r="BH419" s="319"/>
      <c r="BI419" s="261"/>
      <c r="BJ419" s="261"/>
      <c r="BK419" s="261"/>
      <c r="BL419" s="261"/>
      <c r="BM419" s="261"/>
      <c r="BN419" s="261"/>
      <c r="BO419" s="261"/>
      <c r="BP419" s="261"/>
      <c r="BQ419" s="261"/>
      <c r="BR419" s="261"/>
      <c r="BS419" s="261"/>
      <c r="BT419" s="261"/>
      <c r="BU419" s="261"/>
      <c r="BV419" s="261"/>
      <c r="BW419" s="261"/>
    </row>
    <row r="420" spans="2:75">
      <c r="B420" s="230"/>
      <c r="C420" s="230"/>
      <c r="D420" s="230"/>
      <c r="E420" s="230"/>
      <c r="F420" s="230"/>
      <c r="G420" s="230"/>
      <c r="H420" s="230"/>
      <c r="I420" s="230"/>
      <c r="J420" s="230"/>
      <c r="K420" s="230"/>
      <c r="L420" s="230"/>
      <c r="M420" s="230"/>
      <c r="N420" s="315"/>
      <c r="O420" s="315"/>
      <c r="P420" s="315"/>
      <c r="Q420" s="315"/>
      <c r="R420" s="315"/>
      <c r="S420" s="315"/>
      <c r="T420" s="315"/>
      <c r="U420" s="315"/>
      <c r="V420" s="315"/>
      <c r="W420" s="315"/>
      <c r="X420" s="315"/>
      <c r="Y420" s="315"/>
      <c r="Z420" s="315"/>
      <c r="AA420" s="315"/>
      <c r="AB420" s="315"/>
      <c r="AC420" s="315"/>
      <c r="AD420" s="315"/>
      <c r="AE420" s="315"/>
      <c r="AF420" s="315"/>
      <c r="AG420" s="315"/>
      <c r="AH420" s="315"/>
      <c r="AI420" s="315"/>
      <c r="AJ420" s="315"/>
      <c r="AK420" s="315"/>
      <c r="AL420" s="315"/>
      <c r="AM420" s="315"/>
      <c r="AN420" s="315"/>
      <c r="AO420" s="315"/>
      <c r="AP420" s="315"/>
      <c r="AQ420" s="320"/>
      <c r="AR420" s="319"/>
      <c r="AS420" s="319"/>
      <c r="AT420" s="319"/>
      <c r="AU420" s="319"/>
      <c r="AV420" s="319"/>
      <c r="AW420" s="319"/>
      <c r="AX420" s="319"/>
      <c r="AY420" s="319"/>
      <c r="AZ420" s="319"/>
      <c r="BA420" s="319"/>
      <c r="BB420" s="319"/>
      <c r="BC420" s="319"/>
      <c r="BD420" s="319"/>
      <c r="BE420" s="319"/>
      <c r="BF420" s="319"/>
      <c r="BG420" s="319"/>
      <c r="BH420" s="319"/>
      <c r="BI420" s="261"/>
      <c r="BJ420" s="261"/>
      <c r="BK420" s="261"/>
      <c r="BL420" s="261"/>
      <c r="BM420" s="261"/>
      <c r="BN420" s="261"/>
      <c r="BO420" s="261"/>
      <c r="BP420" s="261"/>
      <c r="BQ420" s="261"/>
      <c r="BR420" s="261"/>
      <c r="BS420" s="261"/>
      <c r="BT420" s="261"/>
      <c r="BU420" s="261"/>
      <c r="BV420" s="261"/>
      <c r="BW420" s="261"/>
    </row>
    <row r="421" spans="2:75">
      <c r="B421" s="230"/>
      <c r="C421" s="230"/>
      <c r="D421" s="230"/>
      <c r="E421" s="230"/>
      <c r="F421" s="230"/>
      <c r="G421" s="230"/>
      <c r="H421" s="230"/>
      <c r="I421" s="230"/>
      <c r="J421" s="230"/>
      <c r="K421" s="230"/>
      <c r="L421" s="230"/>
      <c r="M421" s="230"/>
      <c r="N421" s="315"/>
      <c r="O421" s="315"/>
      <c r="P421" s="315"/>
      <c r="Q421" s="315"/>
      <c r="R421" s="315"/>
      <c r="S421" s="315"/>
      <c r="T421" s="315"/>
      <c r="U421" s="315"/>
      <c r="V421" s="315"/>
      <c r="W421" s="315"/>
      <c r="X421" s="315"/>
      <c r="Y421" s="315"/>
      <c r="Z421" s="315"/>
      <c r="AA421" s="315"/>
      <c r="AB421" s="315"/>
      <c r="AC421" s="315"/>
      <c r="AD421" s="315"/>
      <c r="AE421" s="315"/>
      <c r="AF421" s="315"/>
      <c r="AG421" s="315"/>
      <c r="AH421" s="315"/>
      <c r="AI421" s="315"/>
      <c r="AJ421" s="315"/>
      <c r="AK421" s="315"/>
      <c r="AL421" s="315"/>
      <c r="AM421" s="315"/>
      <c r="AN421" s="315"/>
      <c r="AO421" s="315"/>
      <c r="AP421" s="315"/>
      <c r="AQ421" s="320"/>
      <c r="AR421" s="319"/>
      <c r="AS421" s="319"/>
      <c r="AT421" s="319"/>
      <c r="AU421" s="319"/>
      <c r="AV421" s="319"/>
      <c r="AW421" s="319"/>
      <c r="AX421" s="319"/>
      <c r="AY421" s="319"/>
      <c r="AZ421" s="319"/>
      <c r="BA421" s="319"/>
      <c r="BB421" s="319"/>
      <c r="BC421" s="319"/>
      <c r="BD421" s="319"/>
      <c r="BE421" s="319"/>
      <c r="BF421" s="319"/>
      <c r="BG421" s="319"/>
      <c r="BH421" s="319"/>
      <c r="BI421" s="261"/>
      <c r="BJ421" s="261"/>
      <c r="BK421" s="261"/>
      <c r="BL421" s="261"/>
      <c r="BM421" s="261"/>
      <c r="BN421" s="261"/>
      <c r="BO421" s="261"/>
      <c r="BP421" s="261"/>
      <c r="BQ421" s="261"/>
      <c r="BR421" s="261"/>
      <c r="BS421" s="261"/>
      <c r="BT421" s="261"/>
      <c r="BU421" s="261"/>
      <c r="BV421" s="261"/>
      <c r="BW421" s="261"/>
    </row>
    <row r="422" spans="2:75">
      <c r="B422" s="230"/>
      <c r="C422" s="230"/>
      <c r="D422" s="230"/>
      <c r="E422" s="230"/>
      <c r="F422" s="230"/>
      <c r="G422" s="230"/>
      <c r="H422" s="230"/>
      <c r="I422" s="230"/>
      <c r="J422" s="230"/>
      <c r="K422" s="230"/>
      <c r="L422" s="230"/>
      <c r="M422" s="230"/>
      <c r="N422" s="315"/>
      <c r="O422" s="315"/>
      <c r="P422" s="315"/>
      <c r="Q422" s="315"/>
      <c r="R422" s="315"/>
      <c r="S422" s="315"/>
      <c r="T422" s="315"/>
      <c r="U422" s="315"/>
      <c r="V422" s="315"/>
      <c r="W422" s="315"/>
      <c r="X422" s="315"/>
      <c r="Y422" s="315"/>
      <c r="Z422" s="315"/>
      <c r="AA422" s="315"/>
      <c r="AB422" s="315"/>
      <c r="AC422" s="315"/>
      <c r="AD422" s="315"/>
      <c r="AE422" s="315"/>
      <c r="AF422" s="315"/>
      <c r="AG422" s="315"/>
      <c r="AH422" s="315"/>
      <c r="AI422" s="315"/>
      <c r="AJ422" s="315"/>
      <c r="AK422" s="315"/>
      <c r="AL422" s="315"/>
      <c r="AM422" s="315"/>
      <c r="AN422" s="315"/>
      <c r="AO422" s="315"/>
      <c r="AP422" s="315"/>
      <c r="AQ422" s="320"/>
      <c r="AR422" s="319"/>
      <c r="AS422" s="319"/>
      <c r="AT422" s="319"/>
      <c r="AU422" s="319"/>
      <c r="AV422" s="319"/>
      <c r="AW422" s="319"/>
      <c r="AX422" s="319"/>
      <c r="AY422" s="319"/>
      <c r="AZ422" s="319"/>
      <c r="BA422" s="319"/>
      <c r="BB422" s="319"/>
      <c r="BC422" s="319"/>
      <c r="BD422" s="319"/>
      <c r="BE422" s="319"/>
      <c r="BF422" s="319"/>
      <c r="BG422" s="319"/>
      <c r="BH422" s="319"/>
      <c r="BI422" s="261"/>
      <c r="BJ422" s="261"/>
      <c r="BK422" s="261"/>
      <c r="BL422" s="261"/>
      <c r="BM422" s="261"/>
      <c r="BN422" s="261"/>
      <c r="BO422" s="261"/>
      <c r="BP422" s="261"/>
      <c r="BQ422" s="261"/>
      <c r="BR422" s="261"/>
      <c r="BS422" s="261"/>
      <c r="BT422" s="261"/>
      <c r="BU422" s="261"/>
      <c r="BV422" s="261"/>
      <c r="BW422" s="261"/>
    </row>
    <row r="423" spans="2:75">
      <c r="B423" s="230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315"/>
      <c r="O423" s="315"/>
      <c r="P423" s="315"/>
      <c r="Q423" s="315"/>
      <c r="R423" s="315"/>
      <c r="S423" s="315"/>
      <c r="T423" s="315"/>
      <c r="U423" s="315"/>
      <c r="V423" s="315"/>
      <c r="W423" s="315"/>
      <c r="X423" s="315"/>
      <c r="Y423" s="315"/>
      <c r="Z423" s="315"/>
      <c r="AA423" s="315"/>
      <c r="AB423" s="315"/>
      <c r="AC423" s="315"/>
      <c r="AD423" s="315"/>
      <c r="AE423" s="315"/>
      <c r="AF423" s="315"/>
      <c r="AG423" s="315"/>
      <c r="AH423" s="315"/>
      <c r="AI423" s="315"/>
      <c r="AJ423" s="315"/>
      <c r="AK423" s="315"/>
      <c r="AL423" s="315"/>
      <c r="AM423" s="315"/>
      <c r="AN423" s="315"/>
      <c r="AO423" s="315"/>
      <c r="AP423" s="315"/>
      <c r="AQ423" s="320"/>
      <c r="AR423" s="319"/>
      <c r="AS423" s="319"/>
      <c r="AT423" s="319"/>
      <c r="AU423" s="319"/>
      <c r="AV423" s="319"/>
      <c r="AW423" s="319"/>
      <c r="AX423" s="319"/>
      <c r="AY423" s="319"/>
      <c r="AZ423" s="319"/>
      <c r="BA423" s="319"/>
      <c r="BB423" s="319"/>
      <c r="BC423" s="319"/>
      <c r="BD423" s="319"/>
      <c r="BE423" s="319"/>
      <c r="BF423" s="319"/>
      <c r="BG423" s="319"/>
      <c r="BH423" s="319"/>
      <c r="BI423" s="261"/>
      <c r="BJ423" s="261"/>
      <c r="BK423" s="261"/>
      <c r="BL423" s="261"/>
      <c r="BM423" s="261"/>
      <c r="BN423" s="261"/>
      <c r="BO423" s="261"/>
      <c r="BP423" s="261"/>
      <c r="BQ423" s="261"/>
      <c r="BR423" s="261"/>
      <c r="BS423" s="261"/>
      <c r="BT423" s="261"/>
      <c r="BU423" s="261"/>
      <c r="BV423" s="261"/>
      <c r="BW423" s="261"/>
    </row>
    <row r="424" spans="2:75">
      <c r="B424" s="230"/>
      <c r="C424" s="230"/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315"/>
      <c r="O424" s="315"/>
      <c r="P424" s="315"/>
      <c r="Q424" s="315"/>
      <c r="R424" s="315"/>
      <c r="S424" s="315"/>
      <c r="T424" s="315"/>
      <c r="U424" s="315"/>
      <c r="V424" s="315"/>
      <c r="W424" s="315"/>
      <c r="X424" s="315"/>
      <c r="Y424" s="315"/>
      <c r="Z424" s="315"/>
      <c r="AA424" s="315"/>
      <c r="AB424" s="315"/>
      <c r="AC424" s="315"/>
      <c r="AD424" s="315"/>
      <c r="AE424" s="315"/>
      <c r="AF424" s="315"/>
      <c r="AG424" s="315"/>
      <c r="AH424" s="315"/>
      <c r="AI424" s="315"/>
      <c r="AJ424" s="315"/>
      <c r="AK424" s="315"/>
      <c r="AL424" s="315"/>
      <c r="AM424" s="315"/>
      <c r="AN424" s="315"/>
      <c r="AO424" s="315"/>
      <c r="AP424" s="315"/>
      <c r="AQ424" s="320"/>
      <c r="AR424" s="319"/>
      <c r="AS424" s="319"/>
      <c r="AT424" s="319"/>
      <c r="AU424" s="319"/>
      <c r="AV424" s="319"/>
      <c r="AW424" s="319"/>
      <c r="AX424" s="319"/>
      <c r="AY424" s="319"/>
      <c r="AZ424" s="319"/>
      <c r="BA424" s="319"/>
      <c r="BB424" s="319"/>
      <c r="BC424" s="319"/>
      <c r="BD424" s="319"/>
      <c r="BE424" s="319"/>
      <c r="BF424" s="319"/>
      <c r="BG424" s="319"/>
      <c r="BH424" s="319"/>
      <c r="BI424" s="261"/>
      <c r="BJ424" s="261"/>
      <c r="BK424" s="261"/>
      <c r="BL424" s="261"/>
      <c r="BM424" s="261"/>
      <c r="BN424" s="261"/>
      <c r="BO424" s="261"/>
      <c r="BP424" s="261"/>
      <c r="BQ424" s="261"/>
      <c r="BR424" s="261"/>
      <c r="BS424" s="261"/>
      <c r="BT424" s="261"/>
      <c r="BU424" s="261"/>
      <c r="BV424" s="261"/>
      <c r="BW424" s="261"/>
    </row>
    <row r="425" spans="2:75">
      <c r="B425" s="230"/>
      <c r="C425" s="230"/>
      <c r="D425" s="230"/>
      <c r="E425" s="230"/>
      <c r="F425" s="230"/>
      <c r="G425" s="230"/>
      <c r="H425" s="230"/>
      <c r="I425" s="230"/>
      <c r="J425" s="230"/>
      <c r="K425" s="230"/>
      <c r="L425" s="230"/>
      <c r="M425" s="230"/>
      <c r="N425" s="315"/>
      <c r="O425" s="315"/>
      <c r="P425" s="315"/>
      <c r="Q425" s="315"/>
      <c r="R425" s="315"/>
      <c r="S425" s="315"/>
      <c r="T425" s="315"/>
      <c r="U425" s="315"/>
      <c r="V425" s="315"/>
      <c r="W425" s="315"/>
      <c r="X425" s="315"/>
      <c r="Y425" s="315"/>
      <c r="Z425" s="315"/>
      <c r="AA425" s="315"/>
      <c r="AB425" s="315"/>
      <c r="AC425" s="315"/>
      <c r="AD425" s="315"/>
      <c r="AE425" s="315"/>
      <c r="AF425" s="315"/>
      <c r="AG425" s="315"/>
      <c r="AH425" s="315"/>
      <c r="AI425" s="315"/>
      <c r="AJ425" s="315"/>
      <c r="AK425" s="315"/>
      <c r="AL425" s="315"/>
      <c r="AM425" s="315"/>
      <c r="AN425" s="315"/>
      <c r="AO425" s="315"/>
      <c r="AP425" s="315"/>
      <c r="AQ425" s="320"/>
      <c r="AR425" s="319"/>
      <c r="AS425" s="319"/>
      <c r="AT425" s="319"/>
      <c r="AU425" s="319"/>
      <c r="AV425" s="319"/>
      <c r="AW425" s="319"/>
      <c r="AX425" s="319"/>
      <c r="AY425" s="319"/>
      <c r="AZ425" s="319"/>
      <c r="BA425" s="319"/>
      <c r="BB425" s="319"/>
      <c r="BC425" s="319"/>
      <c r="BD425" s="319"/>
      <c r="BE425" s="319"/>
      <c r="BF425" s="319"/>
      <c r="BG425" s="319"/>
      <c r="BH425" s="319"/>
      <c r="BI425" s="261"/>
      <c r="BJ425" s="261"/>
      <c r="BK425" s="261"/>
      <c r="BL425" s="261"/>
      <c r="BM425" s="261"/>
      <c r="BN425" s="261"/>
      <c r="BO425" s="261"/>
      <c r="BP425" s="261"/>
      <c r="BQ425" s="261"/>
      <c r="BR425" s="261"/>
      <c r="BS425" s="261"/>
      <c r="BT425" s="261"/>
      <c r="BU425" s="261"/>
      <c r="BV425" s="261"/>
      <c r="BW425" s="261"/>
    </row>
    <row r="426" spans="2:75">
      <c r="B426" s="230"/>
      <c r="C426" s="230"/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315"/>
      <c r="O426" s="315"/>
      <c r="P426" s="315"/>
      <c r="Q426" s="315"/>
      <c r="R426" s="315"/>
      <c r="S426" s="315"/>
      <c r="T426" s="315"/>
      <c r="U426" s="315"/>
      <c r="V426" s="315"/>
      <c r="W426" s="315"/>
      <c r="X426" s="315"/>
      <c r="Y426" s="315"/>
      <c r="Z426" s="315"/>
      <c r="AA426" s="315"/>
      <c r="AB426" s="315"/>
      <c r="AC426" s="315"/>
      <c r="AD426" s="315"/>
      <c r="AE426" s="315"/>
      <c r="AF426" s="315"/>
      <c r="AG426" s="315"/>
      <c r="AH426" s="315"/>
      <c r="AI426" s="315"/>
      <c r="AJ426" s="315"/>
      <c r="AK426" s="315"/>
      <c r="AL426" s="315"/>
      <c r="AM426" s="315"/>
      <c r="AN426" s="315"/>
      <c r="AO426" s="315"/>
      <c r="AP426" s="315"/>
      <c r="AQ426" s="320"/>
      <c r="AR426" s="319"/>
      <c r="AS426" s="319"/>
      <c r="AT426" s="319"/>
      <c r="AU426" s="319"/>
      <c r="AV426" s="319"/>
      <c r="AW426" s="319"/>
      <c r="AX426" s="319"/>
      <c r="AY426" s="319"/>
      <c r="AZ426" s="319"/>
      <c r="BA426" s="319"/>
      <c r="BB426" s="319"/>
      <c r="BC426" s="319"/>
      <c r="BD426" s="319"/>
      <c r="BE426" s="319"/>
      <c r="BF426" s="319"/>
      <c r="BG426" s="319"/>
      <c r="BH426" s="319"/>
      <c r="BI426" s="261"/>
      <c r="BJ426" s="261"/>
      <c r="BK426" s="261"/>
      <c r="BL426" s="261"/>
      <c r="BM426" s="261"/>
      <c r="BN426" s="261"/>
      <c r="BO426" s="261"/>
      <c r="BP426" s="261"/>
      <c r="BQ426" s="261"/>
      <c r="BR426" s="261"/>
      <c r="BS426" s="261"/>
      <c r="BT426" s="261"/>
      <c r="BU426" s="261"/>
      <c r="BV426" s="261"/>
      <c r="BW426" s="261"/>
    </row>
    <row r="427" spans="2:75">
      <c r="B427" s="230"/>
      <c r="C427" s="230"/>
      <c r="D427" s="230"/>
      <c r="E427" s="230"/>
      <c r="F427" s="230"/>
      <c r="G427" s="230"/>
      <c r="H427" s="230"/>
      <c r="I427" s="230"/>
      <c r="J427" s="230"/>
      <c r="K427" s="230"/>
      <c r="L427" s="230"/>
      <c r="M427" s="230"/>
      <c r="N427" s="315"/>
      <c r="O427" s="315"/>
      <c r="P427" s="315"/>
      <c r="Q427" s="315"/>
      <c r="R427" s="315"/>
      <c r="S427" s="315"/>
      <c r="T427" s="315"/>
      <c r="U427" s="315"/>
      <c r="V427" s="315"/>
      <c r="W427" s="315"/>
      <c r="X427" s="315"/>
      <c r="Y427" s="315"/>
      <c r="Z427" s="315"/>
      <c r="AA427" s="315"/>
      <c r="AB427" s="315"/>
      <c r="AC427" s="315"/>
      <c r="AD427" s="315"/>
      <c r="AE427" s="315"/>
      <c r="AF427" s="315"/>
      <c r="AG427" s="315"/>
      <c r="AH427" s="315"/>
      <c r="AI427" s="315"/>
      <c r="AJ427" s="315"/>
      <c r="AK427" s="315"/>
      <c r="AL427" s="315"/>
      <c r="AM427" s="315"/>
      <c r="AN427" s="315"/>
      <c r="AO427" s="315"/>
      <c r="AP427" s="315"/>
      <c r="AQ427" s="320"/>
      <c r="AR427" s="319"/>
      <c r="AS427" s="319"/>
      <c r="AT427" s="319"/>
      <c r="AU427" s="319"/>
      <c r="AV427" s="319"/>
      <c r="AW427" s="319"/>
      <c r="AX427" s="319"/>
      <c r="AY427" s="319"/>
      <c r="AZ427" s="319"/>
      <c r="BA427" s="319"/>
      <c r="BB427" s="319"/>
      <c r="BC427" s="319"/>
      <c r="BD427" s="319"/>
      <c r="BE427" s="319"/>
      <c r="BF427" s="319"/>
      <c r="BG427" s="319"/>
      <c r="BH427" s="319"/>
      <c r="BI427" s="261"/>
      <c r="BJ427" s="261"/>
      <c r="BK427" s="261"/>
      <c r="BL427" s="261"/>
      <c r="BM427" s="261"/>
      <c r="BN427" s="261"/>
      <c r="BO427" s="261"/>
      <c r="BP427" s="261"/>
      <c r="BQ427" s="261"/>
      <c r="BR427" s="261"/>
      <c r="BS427" s="261"/>
      <c r="BT427" s="261"/>
      <c r="BU427" s="261"/>
      <c r="BV427" s="261"/>
      <c r="BW427" s="261"/>
    </row>
    <row r="428" spans="2:75">
      <c r="B428" s="230"/>
      <c r="C428" s="230"/>
      <c r="D428" s="230"/>
      <c r="E428" s="230"/>
      <c r="F428" s="230"/>
      <c r="G428" s="230"/>
      <c r="H428" s="230"/>
      <c r="I428" s="230"/>
      <c r="J428" s="230"/>
      <c r="K428" s="230"/>
      <c r="L428" s="230"/>
      <c r="M428" s="230"/>
      <c r="N428" s="315"/>
      <c r="O428" s="315"/>
      <c r="P428" s="315"/>
      <c r="Q428" s="315"/>
      <c r="R428" s="315"/>
      <c r="S428" s="315"/>
      <c r="T428" s="315"/>
      <c r="U428" s="315"/>
      <c r="V428" s="315"/>
      <c r="W428" s="315"/>
      <c r="X428" s="315"/>
      <c r="Y428" s="315"/>
      <c r="Z428" s="315"/>
      <c r="AA428" s="315"/>
      <c r="AB428" s="315"/>
      <c r="AC428" s="315"/>
      <c r="AD428" s="315"/>
      <c r="AE428" s="315"/>
      <c r="AF428" s="315"/>
      <c r="AG428" s="315"/>
      <c r="AH428" s="315"/>
      <c r="AI428" s="315"/>
      <c r="AJ428" s="315"/>
      <c r="AK428" s="315"/>
      <c r="AL428" s="315"/>
      <c r="AM428" s="315"/>
      <c r="AN428" s="315"/>
      <c r="AO428" s="315"/>
      <c r="AP428" s="315"/>
      <c r="AQ428" s="320"/>
      <c r="AR428" s="319"/>
      <c r="AS428" s="319"/>
      <c r="AT428" s="319"/>
      <c r="AU428" s="319"/>
      <c r="AV428" s="319"/>
      <c r="AW428" s="319"/>
      <c r="AX428" s="319"/>
      <c r="AY428" s="319"/>
      <c r="AZ428" s="319"/>
      <c r="BA428" s="319"/>
      <c r="BB428" s="319"/>
      <c r="BC428" s="319"/>
      <c r="BD428" s="319"/>
      <c r="BE428" s="319"/>
      <c r="BF428" s="319"/>
      <c r="BG428" s="319"/>
      <c r="BH428" s="319"/>
      <c r="BI428" s="261"/>
      <c r="BJ428" s="261"/>
      <c r="BK428" s="261"/>
      <c r="BL428" s="261"/>
      <c r="BM428" s="261"/>
      <c r="BN428" s="261"/>
      <c r="BO428" s="261"/>
      <c r="BP428" s="261"/>
      <c r="BQ428" s="261"/>
      <c r="BR428" s="261"/>
      <c r="BS428" s="261"/>
      <c r="BT428" s="261"/>
      <c r="BU428" s="261"/>
      <c r="BV428" s="261"/>
      <c r="BW428" s="261"/>
    </row>
    <row r="429" spans="2:75">
      <c r="B429" s="230"/>
      <c r="C429" s="230"/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315"/>
      <c r="O429" s="315"/>
      <c r="P429" s="315"/>
      <c r="Q429" s="315"/>
      <c r="R429" s="315"/>
      <c r="S429" s="315"/>
      <c r="T429" s="315"/>
      <c r="U429" s="315"/>
      <c r="V429" s="315"/>
      <c r="W429" s="315"/>
      <c r="X429" s="315"/>
      <c r="Y429" s="315"/>
      <c r="Z429" s="315"/>
      <c r="AA429" s="315"/>
      <c r="AB429" s="315"/>
      <c r="AC429" s="315"/>
      <c r="AD429" s="315"/>
      <c r="AE429" s="315"/>
      <c r="AF429" s="315"/>
      <c r="AG429" s="315"/>
      <c r="AH429" s="315"/>
      <c r="AI429" s="315"/>
      <c r="AJ429" s="315"/>
      <c r="AK429" s="315"/>
      <c r="AL429" s="315"/>
      <c r="AM429" s="315"/>
      <c r="AN429" s="315"/>
      <c r="AO429" s="315"/>
      <c r="AP429" s="315"/>
      <c r="AQ429" s="320"/>
      <c r="AR429" s="319"/>
      <c r="AS429" s="319"/>
      <c r="AT429" s="319"/>
      <c r="AU429" s="319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19"/>
      <c r="BI429" s="261"/>
      <c r="BJ429" s="261"/>
      <c r="BK429" s="261"/>
      <c r="BL429" s="261"/>
      <c r="BM429" s="261"/>
      <c r="BN429" s="261"/>
      <c r="BO429" s="261"/>
      <c r="BP429" s="261"/>
      <c r="BQ429" s="261"/>
      <c r="BR429" s="261"/>
      <c r="BS429" s="261"/>
      <c r="BT429" s="261"/>
      <c r="BU429" s="261"/>
      <c r="BV429" s="261"/>
      <c r="BW429" s="261"/>
    </row>
    <row r="430" spans="2:75">
      <c r="B430" s="230"/>
      <c r="C430" s="230"/>
      <c r="D430" s="230"/>
      <c r="E430" s="230"/>
      <c r="F430" s="230"/>
      <c r="G430" s="230"/>
      <c r="H430" s="230"/>
      <c r="I430" s="230"/>
      <c r="J430" s="230"/>
      <c r="K430" s="230"/>
      <c r="L430" s="230"/>
      <c r="M430" s="230"/>
      <c r="N430" s="315"/>
      <c r="O430" s="315"/>
      <c r="P430" s="315"/>
      <c r="Q430" s="315"/>
      <c r="R430" s="315"/>
      <c r="S430" s="315"/>
      <c r="T430" s="315"/>
      <c r="U430" s="315"/>
      <c r="V430" s="315"/>
      <c r="W430" s="315"/>
      <c r="X430" s="315"/>
      <c r="Y430" s="315"/>
      <c r="Z430" s="315"/>
      <c r="AA430" s="315"/>
      <c r="AB430" s="315"/>
      <c r="AC430" s="315"/>
      <c r="AD430" s="315"/>
      <c r="AE430" s="315"/>
      <c r="AF430" s="315"/>
      <c r="AG430" s="315"/>
      <c r="AH430" s="315"/>
      <c r="AI430" s="315"/>
      <c r="AJ430" s="315"/>
      <c r="AK430" s="315"/>
      <c r="AL430" s="315"/>
      <c r="AM430" s="315"/>
      <c r="AN430" s="315"/>
      <c r="AO430" s="315"/>
      <c r="AP430" s="315"/>
      <c r="AQ430" s="320"/>
      <c r="AR430" s="319"/>
      <c r="AS430" s="319"/>
      <c r="AT430" s="319"/>
      <c r="AU430" s="319"/>
      <c r="AV430" s="319"/>
      <c r="AW430" s="319"/>
      <c r="AX430" s="319"/>
      <c r="AY430" s="319"/>
      <c r="AZ430" s="319"/>
      <c r="BA430" s="319"/>
      <c r="BB430" s="319"/>
      <c r="BC430" s="319"/>
      <c r="BD430" s="319"/>
      <c r="BE430" s="319"/>
      <c r="BF430" s="319"/>
      <c r="BG430" s="319"/>
      <c r="BH430" s="319"/>
      <c r="BI430" s="261"/>
      <c r="BJ430" s="261"/>
      <c r="BK430" s="261"/>
      <c r="BL430" s="261"/>
      <c r="BM430" s="261"/>
      <c r="BN430" s="261"/>
      <c r="BO430" s="261"/>
      <c r="BP430" s="261"/>
      <c r="BQ430" s="261"/>
      <c r="BR430" s="261"/>
      <c r="BS430" s="261"/>
      <c r="BT430" s="261"/>
      <c r="BU430" s="261"/>
      <c r="BV430" s="261"/>
      <c r="BW430" s="261"/>
    </row>
    <row r="431" spans="2:75">
      <c r="B431" s="230"/>
      <c r="C431" s="230"/>
      <c r="D431" s="230"/>
      <c r="E431" s="230"/>
      <c r="F431" s="230"/>
      <c r="G431" s="230"/>
      <c r="H431" s="230"/>
      <c r="I431" s="230"/>
      <c r="J431" s="230"/>
      <c r="K431" s="230"/>
      <c r="L431" s="230"/>
      <c r="M431" s="230"/>
      <c r="N431" s="315"/>
      <c r="O431" s="315"/>
      <c r="P431" s="315"/>
      <c r="Q431" s="315"/>
      <c r="R431" s="315"/>
      <c r="S431" s="315"/>
      <c r="T431" s="315"/>
      <c r="U431" s="315"/>
      <c r="V431" s="315"/>
      <c r="W431" s="315"/>
      <c r="X431" s="315"/>
      <c r="Y431" s="315"/>
      <c r="Z431" s="315"/>
      <c r="AA431" s="315"/>
      <c r="AB431" s="315"/>
      <c r="AC431" s="315"/>
      <c r="AD431" s="315"/>
      <c r="AE431" s="315"/>
      <c r="AF431" s="315"/>
      <c r="AG431" s="315"/>
      <c r="AH431" s="315"/>
      <c r="AI431" s="315"/>
      <c r="AJ431" s="315"/>
      <c r="AK431" s="315"/>
      <c r="AL431" s="315"/>
      <c r="AM431" s="315"/>
      <c r="AN431" s="315"/>
      <c r="AO431" s="315"/>
      <c r="AP431" s="315"/>
      <c r="AQ431" s="320"/>
      <c r="AR431" s="319"/>
      <c r="AS431" s="319"/>
      <c r="AT431" s="319"/>
      <c r="AU431" s="319"/>
      <c r="AV431" s="319"/>
      <c r="AW431" s="319"/>
      <c r="AX431" s="319"/>
      <c r="AY431" s="319"/>
      <c r="AZ431" s="319"/>
      <c r="BA431" s="319"/>
      <c r="BB431" s="319"/>
      <c r="BC431" s="319"/>
      <c r="BD431" s="319"/>
      <c r="BE431" s="319"/>
      <c r="BF431" s="319"/>
      <c r="BG431" s="319"/>
      <c r="BH431" s="319"/>
      <c r="BI431" s="261"/>
      <c r="BJ431" s="261"/>
      <c r="BK431" s="261"/>
      <c r="BL431" s="261"/>
      <c r="BM431" s="261"/>
      <c r="BN431" s="261"/>
      <c r="BO431" s="261"/>
      <c r="BP431" s="261"/>
      <c r="BQ431" s="261"/>
      <c r="BR431" s="261"/>
      <c r="BS431" s="261"/>
      <c r="BT431" s="261"/>
      <c r="BU431" s="261"/>
      <c r="BV431" s="261"/>
      <c r="BW431" s="261"/>
    </row>
    <row r="432" spans="2:75">
      <c r="B432" s="230"/>
      <c r="C432" s="230"/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315"/>
      <c r="O432" s="315"/>
      <c r="P432" s="315"/>
      <c r="Q432" s="315"/>
      <c r="R432" s="315"/>
      <c r="S432" s="315"/>
      <c r="T432" s="315"/>
      <c r="U432" s="315"/>
      <c r="V432" s="315"/>
      <c r="W432" s="315"/>
      <c r="X432" s="315"/>
      <c r="Y432" s="315"/>
      <c r="Z432" s="315"/>
      <c r="AA432" s="315"/>
      <c r="AB432" s="315"/>
      <c r="AC432" s="315"/>
      <c r="AD432" s="315"/>
      <c r="AE432" s="315"/>
      <c r="AF432" s="315"/>
      <c r="AG432" s="315"/>
      <c r="AH432" s="315"/>
      <c r="AI432" s="315"/>
      <c r="AJ432" s="315"/>
      <c r="AK432" s="315"/>
      <c r="AL432" s="315"/>
      <c r="AM432" s="315"/>
      <c r="AN432" s="315"/>
      <c r="AO432" s="315"/>
      <c r="AP432" s="315"/>
      <c r="AQ432" s="320"/>
      <c r="AR432" s="319"/>
      <c r="AS432" s="319"/>
      <c r="AT432" s="319"/>
      <c r="AU432" s="319"/>
      <c r="AV432" s="319"/>
      <c r="AW432" s="319"/>
      <c r="AX432" s="319"/>
      <c r="AY432" s="319"/>
      <c r="AZ432" s="319"/>
      <c r="BA432" s="319"/>
      <c r="BB432" s="319"/>
      <c r="BC432" s="319"/>
      <c r="BD432" s="319"/>
      <c r="BE432" s="319"/>
      <c r="BF432" s="319"/>
      <c r="BG432" s="319"/>
      <c r="BH432" s="319"/>
      <c r="BI432" s="261"/>
      <c r="BJ432" s="261"/>
      <c r="BK432" s="261"/>
      <c r="BL432" s="261"/>
      <c r="BM432" s="261"/>
      <c r="BN432" s="261"/>
      <c r="BO432" s="261"/>
      <c r="BP432" s="261"/>
      <c r="BQ432" s="261"/>
      <c r="BR432" s="261"/>
      <c r="BS432" s="261"/>
      <c r="BT432" s="261"/>
      <c r="BU432" s="261"/>
      <c r="BV432" s="261"/>
      <c r="BW432" s="261"/>
    </row>
    <row r="433" spans="2:75">
      <c r="B433" s="230"/>
      <c r="C433" s="230"/>
      <c r="D433" s="230"/>
      <c r="E433" s="230"/>
      <c r="F433" s="230"/>
      <c r="G433" s="230"/>
      <c r="H433" s="230"/>
      <c r="I433" s="230"/>
      <c r="J433" s="230"/>
      <c r="K433" s="230"/>
      <c r="L433" s="230"/>
      <c r="M433" s="230"/>
      <c r="N433" s="315"/>
      <c r="O433" s="315"/>
      <c r="P433" s="315"/>
      <c r="Q433" s="315"/>
      <c r="R433" s="315"/>
      <c r="S433" s="315"/>
      <c r="T433" s="315"/>
      <c r="U433" s="315"/>
      <c r="V433" s="315"/>
      <c r="W433" s="315"/>
      <c r="X433" s="315"/>
      <c r="Y433" s="315"/>
      <c r="Z433" s="315"/>
      <c r="AA433" s="315"/>
      <c r="AB433" s="315"/>
      <c r="AC433" s="315"/>
      <c r="AD433" s="315"/>
      <c r="AE433" s="315"/>
      <c r="AF433" s="315"/>
      <c r="AG433" s="315"/>
      <c r="AH433" s="315"/>
      <c r="AI433" s="315"/>
      <c r="AJ433" s="315"/>
      <c r="AK433" s="315"/>
      <c r="AL433" s="315"/>
      <c r="AM433" s="315"/>
      <c r="AN433" s="315"/>
      <c r="AO433" s="315"/>
      <c r="AP433" s="315"/>
      <c r="AQ433" s="320"/>
      <c r="AR433" s="319"/>
      <c r="AS433" s="319"/>
      <c r="AT433" s="319"/>
      <c r="AU433" s="319"/>
      <c r="AV433" s="319"/>
      <c r="AW433" s="319"/>
      <c r="AX433" s="319"/>
      <c r="AY433" s="319"/>
      <c r="AZ433" s="319"/>
      <c r="BA433" s="319"/>
      <c r="BB433" s="319"/>
      <c r="BC433" s="319"/>
      <c r="BD433" s="319"/>
      <c r="BE433" s="319"/>
      <c r="BF433" s="319"/>
      <c r="BG433" s="319"/>
      <c r="BH433" s="319"/>
      <c r="BI433" s="261"/>
      <c r="BJ433" s="261"/>
      <c r="BK433" s="261"/>
      <c r="BL433" s="261"/>
      <c r="BM433" s="261"/>
      <c r="BN433" s="261"/>
      <c r="BO433" s="261"/>
      <c r="BP433" s="261"/>
      <c r="BQ433" s="261"/>
      <c r="BR433" s="261"/>
      <c r="BS433" s="261"/>
      <c r="BT433" s="261"/>
      <c r="BU433" s="261"/>
      <c r="BV433" s="261"/>
      <c r="BW433" s="261"/>
    </row>
    <row r="434" spans="2:75">
      <c r="B434" s="230"/>
      <c r="C434" s="230"/>
      <c r="D434" s="230"/>
      <c r="E434" s="230"/>
      <c r="F434" s="230"/>
      <c r="G434" s="230"/>
      <c r="H434" s="230"/>
      <c r="I434" s="230"/>
      <c r="J434" s="230"/>
      <c r="K434" s="230"/>
      <c r="L434" s="230"/>
      <c r="M434" s="230"/>
      <c r="N434" s="315"/>
      <c r="O434" s="315"/>
      <c r="P434" s="315"/>
      <c r="Q434" s="315"/>
      <c r="R434" s="315"/>
      <c r="S434" s="315"/>
      <c r="T434" s="315"/>
      <c r="U434" s="315"/>
      <c r="V434" s="315"/>
      <c r="W434" s="315"/>
      <c r="X434" s="315"/>
      <c r="Y434" s="315"/>
      <c r="Z434" s="315"/>
      <c r="AA434" s="315"/>
      <c r="AB434" s="315"/>
      <c r="AC434" s="315"/>
      <c r="AD434" s="315"/>
      <c r="AE434" s="315"/>
      <c r="AF434" s="315"/>
      <c r="AG434" s="315"/>
      <c r="AH434" s="315"/>
      <c r="AI434" s="315"/>
      <c r="AJ434" s="315"/>
      <c r="AK434" s="315"/>
      <c r="AL434" s="315"/>
      <c r="AM434" s="315"/>
      <c r="AN434" s="315"/>
      <c r="AO434" s="315"/>
      <c r="AP434" s="315"/>
      <c r="AQ434" s="320"/>
      <c r="AR434" s="319"/>
      <c r="AS434" s="319"/>
      <c r="AT434" s="319"/>
      <c r="AU434" s="319"/>
      <c r="AV434" s="319"/>
      <c r="AW434" s="319"/>
      <c r="AX434" s="319"/>
      <c r="AY434" s="319"/>
      <c r="AZ434" s="319"/>
      <c r="BA434" s="319"/>
      <c r="BB434" s="319"/>
      <c r="BC434" s="319"/>
      <c r="BD434" s="319"/>
      <c r="BE434" s="319"/>
      <c r="BF434" s="319"/>
      <c r="BG434" s="319"/>
      <c r="BH434" s="319"/>
      <c r="BI434" s="261"/>
      <c r="BJ434" s="261"/>
      <c r="BK434" s="261"/>
      <c r="BL434" s="261"/>
      <c r="BM434" s="261"/>
      <c r="BN434" s="261"/>
      <c r="BO434" s="261"/>
      <c r="BP434" s="261"/>
      <c r="BQ434" s="261"/>
      <c r="BR434" s="261"/>
      <c r="BS434" s="261"/>
      <c r="BT434" s="261"/>
      <c r="BU434" s="261"/>
      <c r="BV434" s="261"/>
      <c r="BW434" s="261"/>
    </row>
    <row r="435" spans="2:75">
      <c r="B435" s="230"/>
      <c r="C435" s="230"/>
      <c r="D435" s="230"/>
      <c r="E435" s="230"/>
      <c r="F435" s="230"/>
      <c r="G435" s="230"/>
      <c r="H435" s="230"/>
      <c r="I435" s="230"/>
      <c r="J435" s="230"/>
      <c r="K435" s="230"/>
      <c r="L435" s="230"/>
      <c r="M435" s="230"/>
      <c r="N435" s="315"/>
      <c r="O435" s="315"/>
      <c r="P435" s="315"/>
      <c r="Q435" s="315"/>
      <c r="R435" s="315"/>
      <c r="S435" s="315"/>
      <c r="T435" s="315"/>
      <c r="U435" s="315"/>
      <c r="V435" s="315"/>
      <c r="W435" s="315"/>
      <c r="X435" s="315"/>
      <c r="Y435" s="315"/>
      <c r="Z435" s="315"/>
      <c r="AA435" s="315"/>
      <c r="AB435" s="315"/>
      <c r="AC435" s="315"/>
      <c r="AD435" s="315"/>
      <c r="AE435" s="315"/>
      <c r="AF435" s="315"/>
      <c r="AG435" s="315"/>
      <c r="AH435" s="315"/>
      <c r="AI435" s="315"/>
      <c r="AJ435" s="315"/>
      <c r="AK435" s="315"/>
      <c r="AL435" s="315"/>
      <c r="AM435" s="315"/>
      <c r="AN435" s="315"/>
      <c r="AO435" s="315"/>
      <c r="AP435" s="315"/>
      <c r="AQ435" s="320"/>
      <c r="AR435" s="319"/>
      <c r="AS435" s="319"/>
      <c r="AT435" s="319"/>
      <c r="AU435" s="319"/>
      <c r="AV435" s="319"/>
      <c r="AW435" s="319"/>
      <c r="AX435" s="319"/>
      <c r="AY435" s="319"/>
      <c r="AZ435" s="319"/>
      <c r="BA435" s="319"/>
      <c r="BB435" s="319"/>
      <c r="BC435" s="319"/>
      <c r="BD435" s="319"/>
      <c r="BE435" s="319"/>
      <c r="BF435" s="319"/>
      <c r="BG435" s="319"/>
      <c r="BH435" s="319"/>
      <c r="BI435" s="261"/>
      <c r="BJ435" s="261"/>
      <c r="BK435" s="261"/>
      <c r="BL435" s="261"/>
      <c r="BM435" s="261"/>
      <c r="BN435" s="261"/>
      <c r="BO435" s="261"/>
      <c r="BP435" s="261"/>
      <c r="BQ435" s="261"/>
      <c r="BR435" s="261"/>
      <c r="BS435" s="261"/>
      <c r="BT435" s="261"/>
      <c r="BU435" s="261"/>
      <c r="BV435" s="261"/>
      <c r="BW435" s="261"/>
    </row>
    <row r="436" spans="2:75">
      <c r="B436" s="230"/>
      <c r="C436" s="230"/>
      <c r="D436" s="230"/>
      <c r="E436" s="230"/>
      <c r="F436" s="230"/>
      <c r="G436" s="230"/>
      <c r="H436" s="230"/>
      <c r="I436" s="230"/>
      <c r="J436" s="230"/>
      <c r="K436" s="230"/>
      <c r="L436" s="230"/>
      <c r="M436" s="230"/>
      <c r="N436" s="315"/>
      <c r="O436" s="315"/>
      <c r="P436" s="315"/>
      <c r="Q436" s="315"/>
      <c r="R436" s="315"/>
      <c r="S436" s="315"/>
      <c r="T436" s="315"/>
      <c r="U436" s="315"/>
      <c r="V436" s="315"/>
      <c r="W436" s="315"/>
      <c r="X436" s="315"/>
      <c r="Y436" s="315"/>
      <c r="Z436" s="315"/>
      <c r="AA436" s="315"/>
      <c r="AB436" s="315"/>
      <c r="AC436" s="315"/>
      <c r="AD436" s="315"/>
      <c r="AE436" s="315"/>
      <c r="AF436" s="315"/>
      <c r="AG436" s="315"/>
      <c r="AH436" s="315"/>
      <c r="AI436" s="315"/>
      <c r="AJ436" s="315"/>
      <c r="AK436" s="315"/>
      <c r="AL436" s="315"/>
      <c r="AM436" s="315"/>
      <c r="AN436" s="315"/>
      <c r="AO436" s="315"/>
      <c r="AP436" s="315"/>
      <c r="AQ436" s="320"/>
      <c r="AR436" s="319"/>
      <c r="AS436" s="319"/>
      <c r="AT436" s="319"/>
      <c r="AU436" s="319"/>
      <c r="AV436" s="319"/>
      <c r="AW436" s="319"/>
      <c r="AX436" s="319"/>
      <c r="AY436" s="319"/>
      <c r="AZ436" s="319"/>
      <c r="BA436" s="319"/>
      <c r="BB436" s="319"/>
      <c r="BC436" s="319"/>
      <c r="BD436" s="319"/>
      <c r="BE436" s="319"/>
      <c r="BF436" s="319"/>
      <c r="BG436" s="319"/>
      <c r="BH436" s="319"/>
      <c r="BI436" s="261"/>
      <c r="BJ436" s="261"/>
      <c r="BK436" s="261"/>
      <c r="BL436" s="261"/>
      <c r="BM436" s="261"/>
      <c r="BN436" s="261"/>
      <c r="BO436" s="261"/>
      <c r="BP436" s="261"/>
      <c r="BQ436" s="261"/>
      <c r="BR436" s="261"/>
      <c r="BS436" s="261"/>
      <c r="BT436" s="261"/>
      <c r="BU436" s="261"/>
      <c r="BV436" s="261"/>
      <c r="BW436" s="261"/>
    </row>
    <row r="437" spans="2:75">
      <c r="B437" s="230"/>
      <c r="C437" s="230"/>
      <c r="D437" s="230"/>
      <c r="E437" s="230"/>
      <c r="F437" s="230"/>
      <c r="G437" s="230"/>
      <c r="H437" s="230"/>
      <c r="I437" s="230"/>
      <c r="J437" s="230"/>
      <c r="K437" s="230"/>
      <c r="L437" s="230"/>
      <c r="M437" s="230"/>
      <c r="N437" s="315"/>
      <c r="O437" s="315"/>
      <c r="P437" s="315"/>
      <c r="Q437" s="315"/>
      <c r="R437" s="315"/>
      <c r="S437" s="315"/>
      <c r="T437" s="315"/>
      <c r="U437" s="315"/>
      <c r="V437" s="315"/>
      <c r="W437" s="315"/>
      <c r="X437" s="315"/>
      <c r="Y437" s="315"/>
      <c r="Z437" s="315"/>
      <c r="AA437" s="315"/>
      <c r="AB437" s="315"/>
      <c r="AC437" s="315"/>
      <c r="AD437" s="315"/>
      <c r="AE437" s="315"/>
      <c r="AF437" s="315"/>
      <c r="AG437" s="315"/>
      <c r="AH437" s="315"/>
      <c r="AI437" s="315"/>
      <c r="AJ437" s="315"/>
      <c r="AK437" s="315"/>
      <c r="AL437" s="315"/>
      <c r="AM437" s="315"/>
      <c r="AN437" s="315"/>
      <c r="AO437" s="315"/>
      <c r="AP437" s="315"/>
      <c r="AQ437" s="320"/>
      <c r="AR437" s="319"/>
      <c r="AS437" s="319"/>
      <c r="AT437" s="319"/>
      <c r="AU437" s="319"/>
      <c r="AV437" s="319"/>
      <c r="AW437" s="319"/>
      <c r="AX437" s="319"/>
      <c r="AY437" s="319"/>
      <c r="AZ437" s="319"/>
      <c r="BA437" s="319"/>
      <c r="BB437" s="319"/>
      <c r="BC437" s="319"/>
      <c r="BD437" s="319"/>
      <c r="BE437" s="319"/>
      <c r="BF437" s="319"/>
      <c r="BG437" s="319"/>
      <c r="BH437" s="319"/>
      <c r="BI437" s="261"/>
      <c r="BJ437" s="261"/>
      <c r="BK437" s="261"/>
      <c r="BL437" s="261"/>
      <c r="BM437" s="261"/>
      <c r="BN437" s="261"/>
      <c r="BO437" s="261"/>
      <c r="BP437" s="261"/>
      <c r="BQ437" s="261"/>
      <c r="BR437" s="261"/>
      <c r="BS437" s="261"/>
      <c r="BT437" s="261"/>
      <c r="BU437" s="261"/>
      <c r="BV437" s="261"/>
      <c r="BW437" s="261"/>
    </row>
    <row r="438" spans="2:75">
      <c r="B438" s="230"/>
      <c r="C438" s="230"/>
      <c r="D438" s="230"/>
      <c r="E438" s="230"/>
      <c r="F438" s="230"/>
      <c r="G438" s="230"/>
      <c r="H438" s="230"/>
      <c r="I438" s="230"/>
      <c r="J438" s="230"/>
      <c r="K438" s="230"/>
      <c r="L438" s="230"/>
      <c r="M438" s="230"/>
      <c r="N438" s="315"/>
      <c r="O438" s="315"/>
      <c r="P438" s="315"/>
      <c r="Q438" s="315"/>
      <c r="R438" s="315"/>
      <c r="S438" s="315"/>
      <c r="T438" s="315"/>
      <c r="U438" s="315"/>
      <c r="V438" s="315"/>
      <c r="W438" s="315"/>
      <c r="X438" s="315"/>
      <c r="Y438" s="315"/>
      <c r="Z438" s="315"/>
      <c r="AA438" s="315"/>
      <c r="AB438" s="315"/>
      <c r="AC438" s="315"/>
      <c r="AD438" s="315"/>
      <c r="AE438" s="315"/>
      <c r="AF438" s="315"/>
      <c r="AG438" s="315"/>
      <c r="AH438" s="315"/>
      <c r="AI438" s="315"/>
      <c r="AJ438" s="315"/>
      <c r="AK438" s="315"/>
      <c r="AL438" s="315"/>
      <c r="AM438" s="315"/>
      <c r="AN438" s="315"/>
      <c r="AO438" s="315"/>
      <c r="AP438" s="315"/>
      <c r="AQ438" s="320"/>
      <c r="AR438" s="319"/>
      <c r="AS438" s="319"/>
      <c r="AT438" s="319"/>
      <c r="AU438" s="319"/>
      <c r="AV438" s="319"/>
      <c r="AW438" s="319"/>
      <c r="AX438" s="319"/>
      <c r="AY438" s="319"/>
      <c r="AZ438" s="319"/>
      <c r="BA438" s="319"/>
      <c r="BB438" s="319"/>
      <c r="BC438" s="319"/>
      <c r="BD438" s="319"/>
      <c r="BE438" s="319"/>
      <c r="BF438" s="319"/>
      <c r="BG438" s="319"/>
      <c r="BH438" s="319"/>
      <c r="BI438" s="261"/>
      <c r="BJ438" s="261"/>
      <c r="BK438" s="261"/>
      <c r="BL438" s="261"/>
      <c r="BM438" s="261"/>
      <c r="BN438" s="261"/>
      <c r="BO438" s="261"/>
      <c r="BP438" s="261"/>
      <c r="BQ438" s="261"/>
      <c r="BR438" s="261"/>
      <c r="BS438" s="261"/>
      <c r="BT438" s="261"/>
      <c r="BU438" s="261"/>
      <c r="BV438" s="261"/>
      <c r="BW438" s="261"/>
    </row>
    <row r="439" spans="2:75">
      <c r="B439" s="230"/>
      <c r="C439" s="230"/>
      <c r="D439" s="230"/>
      <c r="E439" s="230"/>
      <c r="F439" s="230"/>
      <c r="G439" s="230"/>
      <c r="H439" s="230"/>
      <c r="I439" s="230"/>
      <c r="J439" s="230"/>
      <c r="K439" s="230"/>
      <c r="L439" s="230"/>
      <c r="M439" s="230"/>
      <c r="N439" s="315"/>
      <c r="O439" s="315"/>
      <c r="P439" s="315"/>
      <c r="Q439" s="315"/>
      <c r="R439" s="315"/>
      <c r="S439" s="315"/>
      <c r="T439" s="315"/>
      <c r="U439" s="315"/>
      <c r="V439" s="315"/>
      <c r="W439" s="315"/>
      <c r="X439" s="315"/>
      <c r="Y439" s="315"/>
      <c r="Z439" s="315"/>
      <c r="AA439" s="315"/>
      <c r="AB439" s="315"/>
      <c r="AC439" s="315"/>
      <c r="AD439" s="315"/>
      <c r="AE439" s="315"/>
      <c r="AF439" s="315"/>
      <c r="AG439" s="315"/>
      <c r="AH439" s="315"/>
      <c r="AI439" s="315"/>
      <c r="AJ439" s="315"/>
      <c r="AK439" s="315"/>
      <c r="AL439" s="315"/>
      <c r="AM439" s="315"/>
      <c r="AN439" s="315"/>
      <c r="AO439" s="315"/>
      <c r="AP439" s="315"/>
      <c r="AQ439" s="320"/>
      <c r="AR439" s="319"/>
      <c r="AS439" s="319"/>
      <c r="AT439" s="319"/>
      <c r="AU439" s="319"/>
      <c r="AV439" s="319"/>
      <c r="AW439" s="319"/>
      <c r="AX439" s="319"/>
      <c r="AY439" s="319"/>
      <c r="AZ439" s="319"/>
      <c r="BA439" s="319"/>
      <c r="BB439" s="319"/>
      <c r="BC439" s="319"/>
      <c r="BD439" s="319"/>
      <c r="BE439" s="319"/>
      <c r="BF439" s="319"/>
      <c r="BG439" s="319"/>
      <c r="BH439" s="319"/>
      <c r="BI439" s="261"/>
      <c r="BJ439" s="261"/>
      <c r="BK439" s="261"/>
      <c r="BL439" s="261"/>
      <c r="BM439" s="261"/>
      <c r="BN439" s="261"/>
      <c r="BO439" s="261"/>
      <c r="BP439" s="261"/>
      <c r="BQ439" s="261"/>
      <c r="BR439" s="261"/>
      <c r="BS439" s="261"/>
      <c r="BT439" s="261"/>
      <c r="BU439" s="261"/>
      <c r="BV439" s="261"/>
      <c r="BW439" s="261"/>
    </row>
    <row r="440" spans="2:75">
      <c r="B440" s="230"/>
      <c r="C440" s="230"/>
      <c r="D440" s="230"/>
      <c r="E440" s="230"/>
      <c r="F440" s="230"/>
      <c r="G440" s="230"/>
      <c r="H440" s="230"/>
      <c r="I440" s="230"/>
      <c r="J440" s="230"/>
      <c r="K440" s="230"/>
      <c r="L440" s="230"/>
      <c r="M440" s="230"/>
      <c r="N440" s="315"/>
      <c r="O440" s="315"/>
      <c r="P440" s="315"/>
      <c r="Q440" s="315"/>
      <c r="R440" s="315"/>
      <c r="S440" s="315"/>
      <c r="T440" s="315"/>
      <c r="U440" s="315"/>
      <c r="V440" s="315"/>
      <c r="W440" s="315"/>
      <c r="X440" s="315"/>
      <c r="Y440" s="315"/>
      <c r="Z440" s="315"/>
      <c r="AA440" s="315"/>
      <c r="AB440" s="315"/>
      <c r="AC440" s="315"/>
      <c r="AD440" s="315"/>
      <c r="AE440" s="315"/>
      <c r="AF440" s="315"/>
      <c r="AG440" s="315"/>
      <c r="AH440" s="315"/>
      <c r="AI440" s="315"/>
      <c r="AJ440" s="315"/>
      <c r="AK440" s="315"/>
      <c r="AL440" s="315"/>
      <c r="AM440" s="315"/>
      <c r="AN440" s="315"/>
      <c r="AO440" s="315"/>
      <c r="AP440" s="315"/>
      <c r="AQ440" s="320"/>
      <c r="AR440" s="319"/>
      <c r="AS440" s="319"/>
      <c r="AT440" s="319"/>
      <c r="AU440" s="319"/>
      <c r="AV440" s="319"/>
      <c r="AW440" s="319"/>
      <c r="AX440" s="319"/>
      <c r="AY440" s="319"/>
      <c r="AZ440" s="319"/>
      <c r="BA440" s="319"/>
      <c r="BB440" s="319"/>
      <c r="BC440" s="319"/>
      <c r="BD440" s="319"/>
      <c r="BE440" s="319"/>
      <c r="BF440" s="319"/>
      <c r="BG440" s="319"/>
      <c r="BH440" s="319"/>
      <c r="BI440" s="261"/>
      <c r="BJ440" s="261"/>
      <c r="BK440" s="261"/>
      <c r="BL440" s="261"/>
      <c r="BM440" s="261"/>
      <c r="BN440" s="261"/>
      <c r="BO440" s="261"/>
      <c r="BP440" s="261"/>
      <c r="BQ440" s="261"/>
      <c r="BR440" s="261"/>
      <c r="BS440" s="261"/>
      <c r="BT440" s="261"/>
      <c r="BU440" s="261"/>
      <c r="BV440" s="261"/>
      <c r="BW440" s="261"/>
    </row>
    <row r="441" spans="2:75">
      <c r="B441" s="230"/>
      <c r="C441" s="230"/>
      <c r="D441" s="230"/>
      <c r="E441" s="230"/>
      <c r="F441" s="230"/>
      <c r="G441" s="230"/>
      <c r="H441" s="230"/>
      <c r="I441" s="230"/>
      <c r="J441" s="230"/>
      <c r="K441" s="230"/>
      <c r="L441" s="230"/>
      <c r="M441" s="230"/>
      <c r="N441" s="315"/>
      <c r="O441" s="315"/>
      <c r="P441" s="315"/>
      <c r="Q441" s="315"/>
      <c r="R441" s="315"/>
      <c r="S441" s="315"/>
      <c r="T441" s="315"/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5"/>
      <c r="AH441" s="315"/>
      <c r="AI441" s="315"/>
      <c r="AJ441" s="315"/>
      <c r="AK441" s="315"/>
      <c r="AL441" s="315"/>
      <c r="AM441" s="315"/>
      <c r="AN441" s="315"/>
      <c r="AO441" s="315"/>
      <c r="AP441" s="315"/>
      <c r="AQ441" s="320"/>
      <c r="AR441" s="319"/>
      <c r="AS441" s="319"/>
      <c r="AT441" s="319"/>
      <c r="AU441" s="319"/>
      <c r="AV441" s="319"/>
      <c r="AW441" s="319"/>
      <c r="AX441" s="319"/>
      <c r="AY441" s="319"/>
      <c r="AZ441" s="319"/>
      <c r="BA441" s="319"/>
      <c r="BB441" s="319"/>
      <c r="BC441" s="319"/>
      <c r="BD441" s="319"/>
      <c r="BE441" s="319"/>
      <c r="BF441" s="319"/>
      <c r="BG441" s="319"/>
      <c r="BH441" s="319"/>
      <c r="BI441" s="261"/>
      <c r="BJ441" s="261"/>
      <c r="BK441" s="261"/>
      <c r="BL441" s="261"/>
      <c r="BM441" s="261"/>
      <c r="BN441" s="261"/>
      <c r="BO441" s="261"/>
      <c r="BP441" s="261"/>
      <c r="BQ441" s="261"/>
      <c r="BR441" s="261"/>
      <c r="BS441" s="261"/>
      <c r="BT441" s="261"/>
      <c r="BU441" s="261"/>
      <c r="BV441" s="261"/>
      <c r="BW441" s="261"/>
    </row>
    <row r="442" spans="2:75">
      <c r="B442" s="230"/>
      <c r="C442" s="230"/>
      <c r="D442" s="230"/>
      <c r="E442" s="230"/>
      <c r="F442" s="230"/>
      <c r="G442" s="230"/>
      <c r="H442" s="230"/>
      <c r="I442" s="230"/>
      <c r="J442" s="230"/>
      <c r="K442" s="230"/>
      <c r="L442" s="230"/>
      <c r="M442" s="230"/>
      <c r="N442" s="315"/>
      <c r="O442" s="315"/>
      <c r="P442" s="315"/>
      <c r="Q442" s="315"/>
      <c r="R442" s="315"/>
      <c r="S442" s="315"/>
      <c r="T442" s="315"/>
      <c r="U442" s="315"/>
      <c r="V442" s="315"/>
      <c r="W442" s="315"/>
      <c r="X442" s="315"/>
      <c r="Y442" s="315"/>
      <c r="Z442" s="315"/>
      <c r="AA442" s="315"/>
      <c r="AB442" s="315"/>
      <c r="AC442" s="315"/>
      <c r="AD442" s="315"/>
      <c r="AE442" s="315"/>
      <c r="AF442" s="315"/>
      <c r="AG442" s="315"/>
      <c r="AH442" s="315"/>
      <c r="AI442" s="315"/>
      <c r="AJ442" s="315"/>
      <c r="AK442" s="315"/>
      <c r="AL442" s="315"/>
      <c r="AM442" s="315"/>
      <c r="AN442" s="315"/>
      <c r="AO442" s="315"/>
      <c r="AP442" s="315"/>
      <c r="AQ442" s="320"/>
      <c r="AR442" s="319"/>
      <c r="AS442" s="319"/>
      <c r="AT442" s="319"/>
      <c r="AU442" s="319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19"/>
      <c r="BI442" s="261"/>
      <c r="BJ442" s="261"/>
      <c r="BK442" s="261"/>
      <c r="BL442" s="261"/>
      <c r="BM442" s="261"/>
      <c r="BN442" s="261"/>
      <c r="BO442" s="261"/>
      <c r="BP442" s="261"/>
      <c r="BQ442" s="261"/>
      <c r="BR442" s="261"/>
      <c r="BS442" s="261"/>
      <c r="BT442" s="261"/>
      <c r="BU442" s="261"/>
      <c r="BV442" s="261"/>
      <c r="BW442" s="261"/>
    </row>
    <row r="443" spans="2:75">
      <c r="B443" s="230"/>
      <c r="C443" s="230"/>
      <c r="D443" s="230"/>
      <c r="E443" s="230"/>
      <c r="F443" s="230"/>
      <c r="G443" s="230"/>
      <c r="H443" s="230"/>
      <c r="I443" s="230"/>
      <c r="J443" s="230"/>
      <c r="K443" s="230"/>
      <c r="L443" s="230"/>
      <c r="M443" s="230"/>
      <c r="N443" s="315"/>
      <c r="O443" s="315"/>
      <c r="P443" s="315"/>
      <c r="Q443" s="315"/>
      <c r="R443" s="315"/>
      <c r="S443" s="315"/>
      <c r="T443" s="315"/>
      <c r="U443" s="315"/>
      <c r="V443" s="315"/>
      <c r="W443" s="315"/>
      <c r="X443" s="315"/>
      <c r="Y443" s="315"/>
      <c r="Z443" s="315"/>
      <c r="AA443" s="315"/>
      <c r="AB443" s="315"/>
      <c r="AC443" s="315"/>
      <c r="AD443" s="315"/>
      <c r="AE443" s="315"/>
      <c r="AF443" s="315"/>
      <c r="AG443" s="315"/>
      <c r="AH443" s="315"/>
      <c r="AI443" s="315"/>
      <c r="AJ443" s="315"/>
      <c r="AK443" s="315"/>
      <c r="AL443" s="315"/>
      <c r="AM443" s="315"/>
      <c r="AN443" s="315"/>
      <c r="AO443" s="315"/>
      <c r="AP443" s="315"/>
      <c r="AQ443" s="320"/>
      <c r="AR443" s="319"/>
      <c r="AS443" s="319"/>
      <c r="AT443" s="319"/>
      <c r="AU443" s="319"/>
      <c r="AV443" s="319"/>
      <c r="AW443" s="319"/>
      <c r="AX443" s="319"/>
      <c r="AY443" s="319"/>
      <c r="AZ443" s="319"/>
      <c r="BA443" s="319"/>
      <c r="BB443" s="319"/>
      <c r="BC443" s="319"/>
      <c r="BD443" s="319"/>
      <c r="BE443" s="319"/>
      <c r="BF443" s="319"/>
      <c r="BG443" s="319"/>
      <c r="BH443" s="319"/>
      <c r="BI443" s="261"/>
      <c r="BJ443" s="261"/>
      <c r="BK443" s="261"/>
      <c r="BL443" s="261"/>
      <c r="BM443" s="261"/>
      <c r="BN443" s="261"/>
      <c r="BO443" s="261"/>
      <c r="BP443" s="261"/>
      <c r="BQ443" s="261"/>
      <c r="BR443" s="261"/>
      <c r="BS443" s="261"/>
      <c r="BT443" s="261"/>
      <c r="BU443" s="261"/>
      <c r="BV443" s="261"/>
      <c r="BW443" s="261"/>
    </row>
    <row r="444" spans="2:75">
      <c r="B444" s="230"/>
      <c r="C444" s="230"/>
      <c r="D444" s="230"/>
      <c r="E444" s="230"/>
      <c r="F444" s="230"/>
      <c r="G444" s="230"/>
      <c r="H444" s="230"/>
      <c r="I444" s="230"/>
      <c r="J444" s="230"/>
      <c r="K444" s="230"/>
      <c r="L444" s="230"/>
      <c r="M444" s="230"/>
      <c r="N444" s="315"/>
      <c r="O444" s="315"/>
      <c r="P444" s="315"/>
      <c r="Q444" s="315"/>
      <c r="R444" s="315"/>
      <c r="S444" s="315"/>
      <c r="T444" s="315"/>
      <c r="U444" s="315"/>
      <c r="V444" s="315"/>
      <c r="W444" s="315"/>
      <c r="X444" s="315"/>
      <c r="Y444" s="315"/>
      <c r="Z444" s="315"/>
      <c r="AA444" s="315"/>
      <c r="AB444" s="315"/>
      <c r="AC444" s="315"/>
      <c r="AD444" s="315"/>
      <c r="AE444" s="315"/>
      <c r="AF444" s="315"/>
      <c r="AG444" s="315"/>
      <c r="AH444" s="315"/>
      <c r="AI444" s="315"/>
      <c r="AJ444" s="315"/>
      <c r="AK444" s="315"/>
      <c r="AL444" s="315"/>
      <c r="AM444" s="315"/>
      <c r="AN444" s="315"/>
      <c r="AO444" s="315"/>
      <c r="AP444" s="315"/>
      <c r="AQ444" s="320"/>
      <c r="AR444" s="319"/>
      <c r="AS444" s="319"/>
      <c r="AT444" s="319"/>
      <c r="AU444" s="319"/>
      <c r="AV444" s="319"/>
      <c r="AW444" s="319"/>
      <c r="AX444" s="319"/>
      <c r="AY444" s="319"/>
      <c r="AZ444" s="319"/>
      <c r="BA444" s="319"/>
      <c r="BB444" s="319"/>
      <c r="BC444" s="319"/>
      <c r="BD444" s="319"/>
      <c r="BE444" s="319"/>
      <c r="BF444" s="319"/>
      <c r="BG444" s="319"/>
      <c r="BH444" s="319"/>
      <c r="BI444" s="261"/>
      <c r="BJ444" s="261"/>
      <c r="BK444" s="261"/>
      <c r="BL444" s="261"/>
      <c r="BM444" s="261"/>
      <c r="BN444" s="261"/>
      <c r="BO444" s="261"/>
      <c r="BP444" s="261"/>
      <c r="BQ444" s="261"/>
      <c r="BR444" s="261"/>
      <c r="BS444" s="261"/>
      <c r="BT444" s="261"/>
      <c r="BU444" s="261"/>
      <c r="BV444" s="261"/>
      <c r="BW444" s="261"/>
    </row>
    <row r="445" spans="2:75">
      <c r="B445" s="230"/>
      <c r="C445" s="230"/>
      <c r="D445" s="230"/>
      <c r="E445" s="230"/>
      <c r="F445" s="230"/>
      <c r="G445" s="230"/>
      <c r="H445" s="230"/>
      <c r="I445" s="230"/>
      <c r="J445" s="230"/>
      <c r="K445" s="230"/>
      <c r="L445" s="230"/>
      <c r="M445" s="230"/>
      <c r="N445" s="315"/>
      <c r="O445" s="315"/>
      <c r="P445" s="315"/>
      <c r="Q445" s="315"/>
      <c r="R445" s="315"/>
      <c r="S445" s="315"/>
      <c r="T445" s="315"/>
      <c r="U445" s="315"/>
      <c r="V445" s="315"/>
      <c r="W445" s="315"/>
      <c r="X445" s="315"/>
      <c r="Y445" s="315"/>
      <c r="Z445" s="315"/>
      <c r="AA445" s="315"/>
      <c r="AB445" s="315"/>
      <c r="AC445" s="315"/>
      <c r="AD445" s="315"/>
      <c r="AE445" s="315"/>
      <c r="AF445" s="315"/>
      <c r="AG445" s="315"/>
      <c r="AH445" s="315"/>
      <c r="AI445" s="315"/>
      <c r="AJ445" s="315"/>
      <c r="AK445" s="315"/>
      <c r="AL445" s="315"/>
      <c r="AM445" s="315"/>
      <c r="AN445" s="315"/>
      <c r="AO445" s="315"/>
      <c r="AP445" s="315"/>
      <c r="AQ445" s="320"/>
      <c r="AR445" s="319"/>
      <c r="AS445" s="319"/>
      <c r="AT445" s="319"/>
      <c r="AU445" s="319"/>
      <c r="AV445" s="319"/>
      <c r="AW445" s="319"/>
      <c r="AX445" s="319"/>
      <c r="AY445" s="319"/>
      <c r="AZ445" s="319"/>
      <c r="BA445" s="319"/>
      <c r="BB445" s="319"/>
      <c r="BC445" s="319"/>
      <c r="BD445" s="319"/>
      <c r="BE445" s="319"/>
      <c r="BF445" s="319"/>
      <c r="BG445" s="319"/>
      <c r="BH445" s="319"/>
      <c r="BI445" s="261"/>
      <c r="BJ445" s="261"/>
      <c r="BK445" s="261"/>
      <c r="BL445" s="261"/>
      <c r="BM445" s="261"/>
      <c r="BN445" s="261"/>
      <c r="BO445" s="261"/>
      <c r="BP445" s="261"/>
      <c r="BQ445" s="261"/>
      <c r="BR445" s="261"/>
      <c r="BS445" s="261"/>
      <c r="BT445" s="261"/>
      <c r="BU445" s="261"/>
      <c r="BV445" s="261"/>
      <c r="BW445" s="261"/>
    </row>
    <row r="446" spans="2:75">
      <c r="B446" s="230"/>
      <c r="C446" s="230"/>
      <c r="D446" s="230"/>
      <c r="E446" s="230"/>
      <c r="F446" s="230"/>
      <c r="G446" s="230"/>
      <c r="H446" s="230"/>
      <c r="I446" s="230"/>
      <c r="J446" s="230"/>
      <c r="K446" s="230"/>
      <c r="L446" s="230"/>
      <c r="M446" s="230"/>
      <c r="N446" s="315"/>
      <c r="O446" s="315"/>
      <c r="P446" s="315"/>
      <c r="Q446" s="315"/>
      <c r="R446" s="315"/>
      <c r="S446" s="315"/>
      <c r="T446" s="315"/>
      <c r="U446" s="315"/>
      <c r="V446" s="315"/>
      <c r="W446" s="315"/>
      <c r="X446" s="315"/>
      <c r="Y446" s="315"/>
      <c r="Z446" s="315"/>
      <c r="AA446" s="315"/>
      <c r="AB446" s="315"/>
      <c r="AC446" s="315"/>
      <c r="AD446" s="315"/>
      <c r="AE446" s="315"/>
      <c r="AF446" s="315"/>
      <c r="AG446" s="315"/>
      <c r="AH446" s="315"/>
      <c r="AI446" s="315"/>
      <c r="AJ446" s="315"/>
      <c r="AK446" s="315"/>
      <c r="AL446" s="315"/>
      <c r="AM446" s="315"/>
      <c r="AN446" s="315"/>
      <c r="AO446" s="315"/>
      <c r="AP446" s="315"/>
      <c r="AQ446" s="320"/>
      <c r="AR446" s="319"/>
      <c r="AS446" s="319"/>
      <c r="AT446" s="319"/>
      <c r="AU446" s="319"/>
      <c r="AV446" s="319"/>
      <c r="AW446" s="319"/>
      <c r="AX446" s="319"/>
      <c r="AY446" s="319"/>
      <c r="AZ446" s="319"/>
      <c r="BA446" s="319"/>
      <c r="BB446" s="319"/>
      <c r="BC446" s="319"/>
      <c r="BD446" s="319"/>
      <c r="BE446" s="319"/>
      <c r="BF446" s="319"/>
      <c r="BG446" s="319"/>
      <c r="BH446" s="319"/>
      <c r="BI446" s="261"/>
      <c r="BJ446" s="261"/>
      <c r="BK446" s="261"/>
      <c r="BL446" s="261"/>
      <c r="BM446" s="261"/>
      <c r="BN446" s="261"/>
      <c r="BO446" s="261"/>
      <c r="BP446" s="261"/>
      <c r="BQ446" s="261"/>
      <c r="BR446" s="261"/>
      <c r="BS446" s="261"/>
      <c r="BT446" s="261"/>
      <c r="BU446" s="261"/>
      <c r="BV446" s="261"/>
      <c r="BW446" s="261"/>
    </row>
    <row r="447" spans="2:75">
      <c r="B447" s="230"/>
      <c r="C447" s="230"/>
      <c r="D447" s="230"/>
      <c r="E447" s="230"/>
      <c r="F447" s="230"/>
      <c r="G447" s="230"/>
      <c r="H447" s="230"/>
      <c r="I447" s="230"/>
      <c r="J447" s="230"/>
      <c r="K447" s="230"/>
      <c r="L447" s="230"/>
      <c r="M447" s="230"/>
      <c r="N447" s="315"/>
      <c r="O447" s="315"/>
      <c r="P447" s="315"/>
      <c r="Q447" s="315"/>
      <c r="R447" s="315"/>
      <c r="S447" s="315"/>
      <c r="T447" s="315"/>
      <c r="U447" s="315"/>
      <c r="V447" s="315"/>
      <c r="W447" s="315"/>
      <c r="X447" s="315"/>
      <c r="Y447" s="315"/>
      <c r="Z447" s="315"/>
      <c r="AA447" s="315"/>
      <c r="AB447" s="315"/>
      <c r="AC447" s="315"/>
      <c r="AD447" s="315"/>
      <c r="AE447" s="315"/>
      <c r="AF447" s="315"/>
      <c r="AG447" s="315"/>
      <c r="AH447" s="315"/>
      <c r="AI447" s="315"/>
      <c r="AJ447" s="315"/>
      <c r="AK447" s="315"/>
      <c r="AL447" s="315"/>
      <c r="AM447" s="315"/>
      <c r="AN447" s="315"/>
      <c r="AO447" s="315"/>
      <c r="AP447" s="315"/>
      <c r="AQ447" s="320"/>
      <c r="AR447" s="319"/>
      <c r="AS447" s="319"/>
      <c r="AT447" s="319"/>
      <c r="AU447" s="319"/>
      <c r="AV447" s="319"/>
      <c r="AW447" s="319"/>
      <c r="AX447" s="319"/>
      <c r="AY447" s="319"/>
      <c r="AZ447" s="319"/>
      <c r="BA447" s="319"/>
      <c r="BB447" s="319"/>
      <c r="BC447" s="319"/>
      <c r="BD447" s="319"/>
      <c r="BE447" s="319"/>
      <c r="BF447" s="319"/>
      <c r="BG447" s="319"/>
      <c r="BH447" s="319"/>
      <c r="BI447" s="261"/>
      <c r="BJ447" s="261"/>
      <c r="BK447" s="261"/>
      <c r="BL447" s="261"/>
      <c r="BM447" s="261"/>
      <c r="BN447" s="261"/>
      <c r="BO447" s="261"/>
      <c r="BP447" s="261"/>
      <c r="BQ447" s="261"/>
      <c r="BR447" s="261"/>
      <c r="BS447" s="261"/>
      <c r="BT447" s="261"/>
      <c r="BU447" s="261"/>
      <c r="BV447" s="261"/>
      <c r="BW447" s="261"/>
    </row>
    <row r="448" spans="2:75">
      <c r="B448" s="230"/>
      <c r="C448" s="230"/>
      <c r="D448" s="230"/>
      <c r="E448" s="230"/>
      <c r="F448" s="230"/>
      <c r="G448" s="230"/>
      <c r="H448" s="230"/>
      <c r="I448" s="230"/>
      <c r="J448" s="230"/>
      <c r="K448" s="230"/>
      <c r="L448" s="230"/>
      <c r="M448" s="230"/>
      <c r="N448" s="315"/>
      <c r="O448" s="315"/>
      <c r="P448" s="315"/>
      <c r="Q448" s="315"/>
      <c r="R448" s="315"/>
      <c r="S448" s="315"/>
      <c r="T448" s="315"/>
      <c r="U448" s="315"/>
      <c r="V448" s="315"/>
      <c r="W448" s="315"/>
      <c r="X448" s="315"/>
      <c r="Y448" s="315"/>
      <c r="Z448" s="315"/>
      <c r="AA448" s="315"/>
      <c r="AB448" s="315"/>
      <c r="AC448" s="315"/>
      <c r="AD448" s="315"/>
      <c r="AE448" s="315"/>
      <c r="AF448" s="315"/>
      <c r="AG448" s="315"/>
      <c r="AH448" s="315"/>
      <c r="AI448" s="315"/>
      <c r="AJ448" s="315"/>
      <c r="AK448" s="315"/>
      <c r="AL448" s="315"/>
      <c r="AM448" s="315"/>
      <c r="AN448" s="315"/>
      <c r="AO448" s="315"/>
      <c r="AP448" s="315"/>
      <c r="AQ448" s="320"/>
      <c r="AR448" s="319"/>
      <c r="AS448" s="319"/>
      <c r="AT448" s="319"/>
      <c r="AU448" s="319"/>
      <c r="AV448" s="319"/>
      <c r="AW448" s="319"/>
      <c r="AX448" s="319"/>
      <c r="AY448" s="319"/>
      <c r="AZ448" s="319"/>
      <c r="BA448" s="319"/>
      <c r="BB448" s="319"/>
      <c r="BC448" s="319"/>
      <c r="BD448" s="319"/>
      <c r="BE448" s="319"/>
      <c r="BF448" s="319"/>
      <c r="BG448" s="319"/>
      <c r="BH448" s="319"/>
      <c r="BI448" s="261"/>
      <c r="BJ448" s="261"/>
      <c r="BK448" s="261"/>
      <c r="BL448" s="261"/>
      <c r="BM448" s="261"/>
      <c r="BN448" s="261"/>
      <c r="BO448" s="261"/>
      <c r="BP448" s="261"/>
      <c r="BQ448" s="261"/>
      <c r="BR448" s="261"/>
      <c r="BS448" s="261"/>
      <c r="BT448" s="261"/>
      <c r="BU448" s="261"/>
      <c r="BV448" s="261"/>
      <c r="BW448" s="261"/>
    </row>
    <row r="449" spans="2:75">
      <c r="B449" s="230"/>
      <c r="C449" s="230"/>
      <c r="D449" s="230"/>
      <c r="E449" s="230"/>
      <c r="F449" s="230"/>
      <c r="G449" s="230"/>
      <c r="H449" s="230"/>
      <c r="I449" s="230"/>
      <c r="J449" s="230"/>
      <c r="K449" s="230"/>
      <c r="L449" s="230"/>
      <c r="M449" s="230"/>
      <c r="N449" s="315"/>
      <c r="O449" s="315"/>
      <c r="P449" s="315"/>
      <c r="Q449" s="315"/>
      <c r="R449" s="315"/>
      <c r="S449" s="315"/>
      <c r="T449" s="315"/>
      <c r="U449" s="315"/>
      <c r="V449" s="315"/>
      <c r="W449" s="315"/>
      <c r="X449" s="315"/>
      <c r="Y449" s="315"/>
      <c r="Z449" s="315"/>
      <c r="AA449" s="315"/>
      <c r="AB449" s="315"/>
      <c r="AC449" s="315"/>
      <c r="AD449" s="315"/>
      <c r="AE449" s="315"/>
      <c r="AF449" s="315"/>
      <c r="AG449" s="315"/>
      <c r="AH449" s="315"/>
      <c r="AI449" s="315"/>
      <c r="AJ449" s="315"/>
      <c r="AK449" s="315"/>
      <c r="AL449" s="315"/>
      <c r="AM449" s="315"/>
      <c r="AN449" s="315"/>
      <c r="AO449" s="315"/>
      <c r="AP449" s="315"/>
      <c r="AQ449" s="320"/>
      <c r="AR449" s="319"/>
      <c r="AS449" s="319"/>
      <c r="AT449" s="319"/>
      <c r="AU449" s="319"/>
      <c r="AV449" s="319"/>
      <c r="AW449" s="319"/>
      <c r="AX449" s="319"/>
      <c r="AY449" s="319"/>
      <c r="AZ449" s="319"/>
      <c r="BA449" s="319"/>
      <c r="BB449" s="319"/>
      <c r="BC449" s="319"/>
      <c r="BD449" s="319"/>
      <c r="BE449" s="319"/>
      <c r="BF449" s="319"/>
      <c r="BG449" s="319"/>
      <c r="BH449" s="319"/>
      <c r="BI449" s="261"/>
      <c r="BJ449" s="261"/>
      <c r="BK449" s="261"/>
      <c r="BL449" s="261"/>
      <c r="BM449" s="261"/>
      <c r="BN449" s="261"/>
      <c r="BO449" s="261"/>
      <c r="BP449" s="261"/>
      <c r="BQ449" s="261"/>
      <c r="BR449" s="261"/>
      <c r="BS449" s="261"/>
      <c r="BT449" s="261"/>
      <c r="BU449" s="261"/>
      <c r="BV449" s="261"/>
      <c r="BW449" s="261"/>
    </row>
    <row r="450" spans="2:75">
      <c r="B450" s="230"/>
      <c r="C450" s="230"/>
      <c r="D450" s="230"/>
      <c r="E450" s="230"/>
      <c r="F450" s="230"/>
      <c r="G450" s="230"/>
      <c r="H450" s="230"/>
      <c r="I450" s="230"/>
      <c r="J450" s="230"/>
      <c r="K450" s="230"/>
      <c r="L450" s="230"/>
      <c r="M450" s="230"/>
      <c r="N450" s="315"/>
      <c r="O450" s="315"/>
      <c r="P450" s="315"/>
      <c r="Q450" s="315"/>
      <c r="R450" s="315"/>
      <c r="S450" s="315"/>
      <c r="T450" s="315"/>
      <c r="U450" s="315"/>
      <c r="V450" s="315"/>
      <c r="W450" s="315"/>
      <c r="X450" s="315"/>
      <c r="Y450" s="315"/>
      <c r="Z450" s="315"/>
      <c r="AA450" s="315"/>
      <c r="AB450" s="315"/>
      <c r="AC450" s="315"/>
      <c r="AD450" s="315"/>
      <c r="AE450" s="315"/>
      <c r="AF450" s="315"/>
      <c r="AG450" s="315"/>
      <c r="AH450" s="315"/>
      <c r="AI450" s="315"/>
      <c r="AJ450" s="315"/>
      <c r="AK450" s="315"/>
      <c r="AL450" s="315"/>
      <c r="AM450" s="315"/>
      <c r="AN450" s="315"/>
      <c r="AO450" s="315"/>
      <c r="AP450" s="315"/>
      <c r="AQ450" s="320"/>
      <c r="AR450" s="319"/>
      <c r="AS450" s="319"/>
      <c r="AT450" s="319"/>
      <c r="AU450" s="319"/>
      <c r="AV450" s="319"/>
      <c r="AW450" s="319"/>
      <c r="AX450" s="319"/>
      <c r="AY450" s="319"/>
      <c r="AZ450" s="319"/>
      <c r="BA450" s="319"/>
      <c r="BB450" s="319"/>
      <c r="BC450" s="319"/>
      <c r="BD450" s="319"/>
      <c r="BE450" s="319"/>
      <c r="BF450" s="319"/>
      <c r="BG450" s="319"/>
      <c r="BH450" s="319"/>
      <c r="BI450" s="261"/>
      <c r="BJ450" s="261"/>
      <c r="BK450" s="261"/>
      <c r="BL450" s="261"/>
      <c r="BM450" s="261"/>
      <c r="BN450" s="261"/>
      <c r="BO450" s="261"/>
      <c r="BP450" s="261"/>
      <c r="BQ450" s="261"/>
      <c r="BR450" s="261"/>
      <c r="BS450" s="261"/>
      <c r="BT450" s="261"/>
      <c r="BU450" s="261"/>
      <c r="BV450" s="261"/>
      <c r="BW450" s="261"/>
    </row>
    <row r="451" spans="2:75">
      <c r="B451" s="230"/>
      <c r="C451" s="230"/>
      <c r="D451" s="230"/>
      <c r="E451" s="230"/>
      <c r="F451" s="230"/>
      <c r="G451" s="230"/>
      <c r="H451" s="230"/>
      <c r="I451" s="230"/>
      <c r="J451" s="230"/>
      <c r="K451" s="230"/>
      <c r="L451" s="230"/>
      <c r="M451" s="230"/>
      <c r="N451" s="315"/>
      <c r="O451" s="315"/>
      <c r="P451" s="315"/>
      <c r="Q451" s="315"/>
      <c r="R451" s="315"/>
      <c r="S451" s="315"/>
      <c r="T451" s="315"/>
      <c r="U451" s="315"/>
      <c r="V451" s="315"/>
      <c r="W451" s="315"/>
      <c r="X451" s="315"/>
      <c r="Y451" s="315"/>
      <c r="Z451" s="315"/>
      <c r="AA451" s="315"/>
      <c r="AB451" s="315"/>
      <c r="AC451" s="315"/>
      <c r="AD451" s="315"/>
      <c r="AE451" s="315"/>
      <c r="AF451" s="315"/>
      <c r="AG451" s="315"/>
      <c r="AH451" s="315"/>
      <c r="AI451" s="315"/>
      <c r="AJ451" s="315"/>
      <c r="AK451" s="315"/>
      <c r="AL451" s="315"/>
      <c r="AM451" s="315"/>
      <c r="AN451" s="315"/>
      <c r="AO451" s="315"/>
      <c r="AP451" s="315"/>
      <c r="AQ451" s="320"/>
      <c r="AR451" s="319"/>
      <c r="AS451" s="319"/>
      <c r="AT451" s="319"/>
      <c r="AU451" s="319"/>
      <c r="AV451" s="319"/>
      <c r="AW451" s="319"/>
      <c r="AX451" s="319"/>
      <c r="AY451" s="319"/>
      <c r="AZ451" s="319"/>
      <c r="BA451" s="319"/>
      <c r="BB451" s="319"/>
      <c r="BC451" s="319"/>
      <c r="BD451" s="319"/>
      <c r="BE451" s="319"/>
      <c r="BF451" s="319"/>
      <c r="BG451" s="319"/>
      <c r="BH451" s="319"/>
      <c r="BI451" s="261"/>
      <c r="BJ451" s="261"/>
      <c r="BK451" s="261"/>
      <c r="BL451" s="261"/>
      <c r="BM451" s="261"/>
      <c r="BN451" s="261"/>
      <c r="BO451" s="261"/>
      <c r="BP451" s="261"/>
      <c r="BQ451" s="261"/>
      <c r="BR451" s="261"/>
      <c r="BS451" s="261"/>
      <c r="BT451" s="261"/>
      <c r="BU451" s="261"/>
      <c r="BV451" s="261"/>
      <c r="BW451" s="261"/>
    </row>
    <row r="452" spans="2:75">
      <c r="B452" s="230"/>
      <c r="C452" s="230"/>
      <c r="D452" s="230"/>
      <c r="E452" s="230"/>
      <c r="F452" s="230"/>
      <c r="G452" s="230"/>
      <c r="H452" s="230"/>
      <c r="I452" s="230"/>
      <c r="J452" s="230"/>
      <c r="K452" s="230"/>
      <c r="L452" s="230"/>
      <c r="M452" s="230"/>
      <c r="N452" s="315"/>
      <c r="O452" s="315"/>
      <c r="P452" s="315"/>
      <c r="Q452" s="315"/>
      <c r="R452" s="315"/>
      <c r="S452" s="315"/>
      <c r="T452" s="315"/>
      <c r="U452" s="315"/>
      <c r="V452" s="315"/>
      <c r="W452" s="315"/>
      <c r="X452" s="315"/>
      <c r="Y452" s="315"/>
      <c r="Z452" s="315"/>
      <c r="AA452" s="315"/>
      <c r="AB452" s="315"/>
      <c r="AC452" s="315"/>
      <c r="AD452" s="315"/>
      <c r="AE452" s="315"/>
      <c r="AF452" s="315"/>
      <c r="AG452" s="315"/>
      <c r="AH452" s="315"/>
      <c r="AI452" s="315"/>
      <c r="AJ452" s="315"/>
      <c r="AK452" s="315"/>
      <c r="AL452" s="315"/>
      <c r="AM452" s="315"/>
      <c r="AN452" s="315"/>
      <c r="AO452" s="315"/>
      <c r="AP452" s="315"/>
      <c r="AQ452" s="320"/>
      <c r="AR452" s="319"/>
      <c r="AS452" s="319"/>
      <c r="AT452" s="319"/>
      <c r="AU452" s="319"/>
      <c r="AV452" s="319"/>
      <c r="AW452" s="319"/>
      <c r="AX452" s="319"/>
      <c r="AY452" s="319"/>
      <c r="AZ452" s="319"/>
      <c r="BA452" s="319"/>
      <c r="BB452" s="319"/>
      <c r="BC452" s="319"/>
      <c r="BD452" s="319"/>
      <c r="BE452" s="319"/>
      <c r="BF452" s="319"/>
      <c r="BG452" s="319"/>
      <c r="BH452" s="319"/>
      <c r="BI452" s="261"/>
      <c r="BJ452" s="261"/>
      <c r="BK452" s="261"/>
      <c r="BL452" s="261"/>
      <c r="BM452" s="261"/>
      <c r="BN452" s="261"/>
      <c r="BO452" s="261"/>
      <c r="BP452" s="261"/>
      <c r="BQ452" s="261"/>
      <c r="BR452" s="261"/>
      <c r="BS452" s="261"/>
      <c r="BT452" s="261"/>
      <c r="BU452" s="261"/>
      <c r="BV452" s="261"/>
      <c r="BW452" s="261"/>
    </row>
    <row r="453" spans="2:75">
      <c r="B453" s="230"/>
      <c r="C453" s="230"/>
      <c r="D453" s="230"/>
      <c r="E453" s="230"/>
      <c r="F453" s="230"/>
      <c r="G453" s="230"/>
      <c r="H453" s="230"/>
      <c r="I453" s="230"/>
      <c r="J453" s="230"/>
      <c r="K453" s="230"/>
      <c r="L453" s="230"/>
      <c r="M453" s="230"/>
      <c r="N453" s="315"/>
      <c r="O453" s="315"/>
      <c r="P453" s="315"/>
      <c r="Q453" s="315"/>
      <c r="R453" s="315"/>
      <c r="S453" s="315"/>
      <c r="T453" s="315"/>
      <c r="U453" s="315"/>
      <c r="V453" s="315"/>
      <c r="W453" s="315"/>
      <c r="X453" s="315"/>
      <c r="Y453" s="315"/>
      <c r="Z453" s="315"/>
      <c r="AA453" s="315"/>
      <c r="AB453" s="315"/>
      <c r="AC453" s="315"/>
      <c r="AD453" s="315"/>
      <c r="AE453" s="315"/>
      <c r="AF453" s="315"/>
      <c r="AG453" s="315"/>
      <c r="AH453" s="315"/>
      <c r="AI453" s="315"/>
      <c r="AJ453" s="315"/>
      <c r="AK453" s="315"/>
      <c r="AL453" s="315"/>
      <c r="AM453" s="315"/>
      <c r="AN453" s="315"/>
      <c r="AO453" s="315"/>
      <c r="AP453" s="315"/>
      <c r="AQ453" s="320"/>
      <c r="AR453" s="319"/>
      <c r="AS453" s="319"/>
      <c r="AT453" s="319"/>
      <c r="AU453" s="319"/>
      <c r="AV453" s="319"/>
      <c r="AW453" s="319"/>
      <c r="AX453" s="319"/>
      <c r="AY453" s="319"/>
      <c r="AZ453" s="319"/>
      <c r="BA453" s="319"/>
      <c r="BB453" s="319"/>
      <c r="BC453" s="319"/>
      <c r="BD453" s="319"/>
      <c r="BE453" s="319"/>
      <c r="BF453" s="319"/>
      <c r="BG453" s="319"/>
      <c r="BH453" s="319"/>
      <c r="BI453" s="261"/>
      <c r="BJ453" s="261"/>
      <c r="BK453" s="261"/>
      <c r="BL453" s="261"/>
      <c r="BM453" s="261"/>
      <c r="BN453" s="261"/>
      <c r="BO453" s="261"/>
      <c r="BP453" s="261"/>
      <c r="BQ453" s="261"/>
      <c r="BR453" s="261"/>
      <c r="BS453" s="261"/>
      <c r="BT453" s="261"/>
      <c r="BU453" s="261"/>
      <c r="BV453" s="261"/>
      <c r="BW453" s="261"/>
    </row>
    <row r="454" spans="2:75">
      <c r="B454" s="230"/>
      <c r="C454" s="230"/>
      <c r="D454" s="230"/>
      <c r="E454" s="230"/>
      <c r="F454" s="230"/>
      <c r="G454" s="230"/>
      <c r="H454" s="230"/>
      <c r="I454" s="230"/>
      <c r="J454" s="230"/>
      <c r="K454" s="230"/>
      <c r="L454" s="230"/>
      <c r="M454" s="230"/>
      <c r="N454" s="315"/>
      <c r="O454" s="315"/>
      <c r="P454" s="315"/>
      <c r="Q454" s="315"/>
      <c r="R454" s="315"/>
      <c r="S454" s="315"/>
      <c r="T454" s="315"/>
      <c r="U454" s="315"/>
      <c r="V454" s="315"/>
      <c r="W454" s="315"/>
      <c r="X454" s="315"/>
      <c r="Y454" s="315"/>
      <c r="Z454" s="315"/>
      <c r="AA454" s="315"/>
      <c r="AB454" s="315"/>
      <c r="AC454" s="315"/>
      <c r="AD454" s="315"/>
      <c r="AE454" s="315"/>
      <c r="AF454" s="315"/>
      <c r="AG454" s="315"/>
      <c r="AH454" s="315"/>
      <c r="AI454" s="315"/>
      <c r="AJ454" s="315"/>
      <c r="AK454" s="315"/>
      <c r="AL454" s="315"/>
      <c r="AM454" s="315"/>
      <c r="AN454" s="315"/>
      <c r="AO454" s="315"/>
      <c r="AP454" s="315"/>
      <c r="AQ454" s="320"/>
      <c r="AR454" s="319"/>
      <c r="AS454" s="319"/>
      <c r="AT454" s="319"/>
      <c r="AU454" s="319"/>
      <c r="AV454" s="319"/>
      <c r="AW454" s="319"/>
      <c r="AX454" s="319"/>
      <c r="AY454" s="319"/>
      <c r="AZ454" s="319"/>
      <c r="BA454" s="319"/>
      <c r="BB454" s="319"/>
      <c r="BC454" s="319"/>
      <c r="BD454" s="319"/>
      <c r="BE454" s="319"/>
      <c r="BF454" s="319"/>
      <c r="BG454" s="319"/>
      <c r="BH454" s="319"/>
      <c r="BI454" s="261"/>
      <c r="BJ454" s="261"/>
      <c r="BK454" s="261"/>
      <c r="BL454" s="261"/>
      <c r="BM454" s="261"/>
      <c r="BN454" s="261"/>
      <c r="BO454" s="261"/>
      <c r="BP454" s="261"/>
      <c r="BQ454" s="261"/>
      <c r="BR454" s="261"/>
      <c r="BS454" s="261"/>
      <c r="BT454" s="261"/>
      <c r="BU454" s="261"/>
      <c r="BV454" s="261"/>
      <c r="BW454" s="261"/>
    </row>
    <row r="455" spans="2:75">
      <c r="B455" s="230"/>
      <c r="C455" s="230"/>
      <c r="D455" s="230"/>
      <c r="E455" s="230"/>
      <c r="F455" s="230"/>
      <c r="G455" s="230"/>
      <c r="H455" s="230"/>
      <c r="I455" s="230"/>
      <c r="J455" s="230"/>
      <c r="K455" s="230"/>
      <c r="L455" s="230"/>
      <c r="M455" s="230"/>
      <c r="N455" s="315"/>
      <c r="O455" s="315"/>
      <c r="P455" s="315"/>
      <c r="Q455" s="315"/>
      <c r="R455" s="315"/>
      <c r="S455" s="315"/>
      <c r="T455" s="315"/>
      <c r="U455" s="315"/>
      <c r="V455" s="315"/>
      <c r="W455" s="315"/>
      <c r="X455" s="315"/>
      <c r="Y455" s="315"/>
      <c r="Z455" s="315"/>
      <c r="AA455" s="315"/>
      <c r="AB455" s="315"/>
      <c r="AC455" s="315"/>
      <c r="AD455" s="315"/>
      <c r="AE455" s="315"/>
      <c r="AF455" s="315"/>
      <c r="AG455" s="315"/>
      <c r="AH455" s="315"/>
      <c r="AI455" s="315"/>
      <c r="AJ455" s="315"/>
      <c r="AK455" s="315"/>
      <c r="AL455" s="315"/>
      <c r="AM455" s="315"/>
      <c r="AN455" s="315"/>
      <c r="AO455" s="315"/>
      <c r="AP455" s="315"/>
      <c r="AQ455" s="320"/>
      <c r="AR455" s="319"/>
      <c r="AS455" s="319"/>
      <c r="AT455" s="319"/>
      <c r="AU455" s="319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19"/>
      <c r="BI455" s="261"/>
      <c r="BJ455" s="261"/>
      <c r="BK455" s="261"/>
      <c r="BL455" s="261"/>
      <c r="BM455" s="261"/>
      <c r="BN455" s="261"/>
      <c r="BO455" s="261"/>
      <c r="BP455" s="261"/>
      <c r="BQ455" s="261"/>
      <c r="BR455" s="261"/>
      <c r="BS455" s="261"/>
      <c r="BT455" s="261"/>
      <c r="BU455" s="261"/>
      <c r="BV455" s="261"/>
      <c r="BW455" s="261"/>
    </row>
    <row r="456" spans="2:75">
      <c r="B456" s="230"/>
      <c r="C456" s="230"/>
      <c r="D456" s="230"/>
      <c r="E456" s="230"/>
      <c r="F456" s="230"/>
      <c r="G456" s="230"/>
      <c r="H456" s="230"/>
      <c r="I456" s="230"/>
      <c r="J456" s="230"/>
      <c r="K456" s="230"/>
      <c r="L456" s="230"/>
      <c r="M456" s="230"/>
      <c r="N456" s="315"/>
      <c r="O456" s="315"/>
      <c r="P456" s="315"/>
      <c r="Q456" s="315"/>
      <c r="R456" s="315"/>
      <c r="S456" s="315"/>
      <c r="T456" s="315"/>
      <c r="U456" s="315"/>
      <c r="V456" s="315"/>
      <c r="W456" s="315"/>
      <c r="X456" s="315"/>
      <c r="Y456" s="315"/>
      <c r="Z456" s="315"/>
      <c r="AA456" s="315"/>
      <c r="AB456" s="315"/>
      <c r="AC456" s="315"/>
      <c r="AD456" s="315"/>
      <c r="AE456" s="315"/>
      <c r="AF456" s="315"/>
      <c r="AG456" s="315"/>
      <c r="AH456" s="315"/>
      <c r="AI456" s="315"/>
      <c r="AJ456" s="315"/>
      <c r="AK456" s="315"/>
      <c r="AL456" s="315"/>
      <c r="AM456" s="315"/>
      <c r="AN456" s="315"/>
      <c r="AO456" s="315"/>
      <c r="AP456" s="315"/>
      <c r="AQ456" s="320"/>
      <c r="AR456" s="319"/>
      <c r="AS456" s="319"/>
      <c r="AT456" s="319"/>
      <c r="AU456" s="319"/>
      <c r="AV456" s="319"/>
      <c r="AW456" s="319"/>
      <c r="AX456" s="319"/>
      <c r="AY456" s="319"/>
      <c r="AZ456" s="319"/>
      <c r="BA456" s="319"/>
      <c r="BB456" s="319"/>
      <c r="BC456" s="319"/>
      <c r="BD456" s="319"/>
      <c r="BE456" s="319"/>
      <c r="BF456" s="319"/>
      <c r="BG456" s="319"/>
      <c r="BH456" s="319"/>
      <c r="BI456" s="261"/>
      <c r="BJ456" s="261"/>
      <c r="BK456" s="261"/>
      <c r="BL456" s="261"/>
      <c r="BM456" s="261"/>
      <c r="BN456" s="261"/>
      <c r="BO456" s="261"/>
      <c r="BP456" s="261"/>
      <c r="BQ456" s="261"/>
      <c r="BR456" s="261"/>
      <c r="BS456" s="261"/>
      <c r="BT456" s="261"/>
      <c r="BU456" s="261"/>
      <c r="BV456" s="261"/>
      <c r="BW456" s="261"/>
    </row>
    <row r="457" spans="2:75">
      <c r="B457" s="230"/>
      <c r="C457" s="230"/>
      <c r="D457" s="230"/>
      <c r="E457" s="230"/>
      <c r="F457" s="230"/>
      <c r="G457" s="230"/>
      <c r="H457" s="230"/>
      <c r="I457" s="230"/>
      <c r="J457" s="230"/>
      <c r="K457" s="230"/>
      <c r="L457" s="230"/>
      <c r="M457" s="230"/>
      <c r="N457" s="315"/>
      <c r="O457" s="315"/>
      <c r="P457" s="315"/>
      <c r="Q457" s="315"/>
      <c r="R457" s="315"/>
      <c r="S457" s="315"/>
      <c r="T457" s="315"/>
      <c r="U457" s="315"/>
      <c r="V457" s="315"/>
      <c r="W457" s="315"/>
      <c r="X457" s="315"/>
      <c r="Y457" s="315"/>
      <c r="Z457" s="315"/>
      <c r="AA457" s="315"/>
      <c r="AB457" s="315"/>
      <c r="AC457" s="315"/>
      <c r="AD457" s="315"/>
      <c r="AE457" s="315"/>
      <c r="AF457" s="315"/>
      <c r="AG457" s="315"/>
      <c r="AH457" s="315"/>
      <c r="AI457" s="315"/>
      <c r="AJ457" s="315"/>
      <c r="AK457" s="315"/>
      <c r="AL457" s="315"/>
      <c r="AM457" s="315"/>
      <c r="AN457" s="315"/>
      <c r="AO457" s="315"/>
      <c r="AP457" s="315"/>
      <c r="AQ457" s="320"/>
      <c r="AR457" s="319"/>
      <c r="AS457" s="319"/>
      <c r="AT457" s="319"/>
      <c r="AU457" s="319"/>
      <c r="AV457" s="319"/>
      <c r="AW457" s="319"/>
      <c r="AX457" s="319"/>
      <c r="AY457" s="319"/>
      <c r="AZ457" s="319"/>
      <c r="BA457" s="319"/>
      <c r="BB457" s="319"/>
      <c r="BC457" s="319"/>
      <c r="BD457" s="319"/>
      <c r="BE457" s="319"/>
      <c r="BF457" s="319"/>
      <c r="BG457" s="319"/>
      <c r="BH457" s="319"/>
      <c r="BI457" s="261"/>
      <c r="BJ457" s="261"/>
      <c r="BK457" s="261"/>
      <c r="BL457" s="261"/>
      <c r="BM457" s="261"/>
      <c r="BN457" s="261"/>
      <c r="BO457" s="261"/>
      <c r="BP457" s="261"/>
      <c r="BQ457" s="261"/>
      <c r="BR457" s="261"/>
      <c r="BS457" s="261"/>
      <c r="BT457" s="261"/>
      <c r="BU457" s="261"/>
      <c r="BV457" s="261"/>
      <c r="BW457" s="261"/>
    </row>
    <row r="458" spans="2:75">
      <c r="B458" s="230"/>
      <c r="C458" s="230"/>
      <c r="D458" s="230"/>
      <c r="E458" s="230"/>
      <c r="F458" s="230"/>
      <c r="G458" s="230"/>
      <c r="H458" s="230"/>
      <c r="I458" s="230"/>
      <c r="J458" s="230"/>
      <c r="K458" s="230"/>
      <c r="L458" s="230"/>
      <c r="M458" s="230"/>
      <c r="N458" s="315"/>
      <c r="O458" s="315"/>
      <c r="P458" s="315"/>
      <c r="Q458" s="315"/>
      <c r="R458" s="315"/>
      <c r="S458" s="315"/>
      <c r="T458" s="315"/>
      <c r="U458" s="315"/>
      <c r="V458" s="315"/>
      <c r="W458" s="315"/>
      <c r="X458" s="315"/>
      <c r="Y458" s="315"/>
      <c r="Z458" s="315"/>
      <c r="AA458" s="315"/>
      <c r="AB458" s="315"/>
      <c r="AC458" s="315"/>
      <c r="AD458" s="315"/>
      <c r="AE458" s="315"/>
      <c r="AF458" s="315"/>
      <c r="AG458" s="315"/>
      <c r="AH458" s="315"/>
      <c r="AI458" s="315"/>
      <c r="AJ458" s="315"/>
      <c r="AK458" s="315"/>
      <c r="AL458" s="315"/>
      <c r="AM458" s="315"/>
      <c r="AN458" s="315"/>
      <c r="AO458" s="315"/>
      <c r="AP458" s="315"/>
      <c r="AQ458" s="320"/>
      <c r="AR458" s="319"/>
      <c r="AS458" s="319"/>
      <c r="AT458" s="319"/>
      <c r="AU458" s="319"/>
      <c r="AV458" s="319"/>
      <c r="AW458" s="319"/>
      <c r="AX458" s="319"/>
      <c r="AY458" s="319"/>
      <c r="AZ458" s="319"/>
      <c r="BA458" s="319"/>
      <c r="BB458" s="319"/>
      <c r="BC458" s="319"/>
      <c r="BD458" s="319"/>
      <c r="BE458" s="319"/>
      <c r="BF458" s="319"/>
      <c r="BG458" s="319"/>
      <c r="BH458" s="319"/>
      <c r="BI458" s="261"/>
      <c r="BJ458" s="261"/>
      <c r="BK458" s="261"/>
      <c r="BL458" s="261"/>
      <c r="BM458" s="261"/>
      <c r="BN458" s="261"/>
      <c r="BO458" s="261"/>
      <c r="BP458" s="261"/>
      <c r="BQ458" s="261"/>
      <c r="BR458" s="261"/>
      <c r="BS458" s="261"/>
      <c r="BT458" s="261"/>
      <c r="BU458" s="261"/>
      <c r="BV458" s="261"/>
      <c r="BW458" s="261"/>
    </row>
    <row r="459" spans="2:75">
      <c r="B459" s="230"/>
      <c r="C459" s="230"/>
      <c r="D459" s="230"/>
      <c r="E459" s="230"/>
      <c r="F459" s="230"/>
      <c r="G459" s="230"/>
      <c r="H459" s="230"/>
      <c r="I459" s="230"/>
      <c r="J459" s="230"/>
      <c r="K459" s="230"/>
      <c r="L459" s="230"/>
      <c r="M459" s="230"/>
      <c r="N459" s="315"/>
      <c r="O459" s="315"/>
      <c r="P459" s="315"/>
      <c r="Q459" s="315"/>
      <c r="R459" s="315"/>
      <c r="S459" s="315"/>
      <c r="T459" s="315"/>
      <c r="U459" s="315"/>
      <c r="V459" s="315"/>
      <c r="W459" s="315"/>
      <c r="X459" s="315"/>
      <c r="Y459" s="315"/>
      <c r="Z459" s="315"/>
      <c r="AA459" s="315"/>
      <c r="AB459" s="315"/>
      <c r="AC459" s="315"/>
      <c r="AD459" s="315"/>
      <c r="AE459" s="315"/>
      <c r="AF459" s="315"/>
      <c r="AG459" s="315"/>
      <c r="AH459" s="315"/>
      <c r="AI459" s="315"/>
      <c r="AJ459" s="315"/>
      <c r="AK459" s="315"/>
      <c r="AL459" s="315"/>
      <c r="AM459" s="315"/>
      <c r="AN459" s="315"/>
      <c r="AO459" s="315"/>
      <c r="AP459" s="315"/>
      <c r="AQ459" s="320"/>
      <c r="AR459" s="319"/>
      <c r="AS459" s="319"/>
      <c r="AT459" s="319"/>
      <c r="AU459" s="319"/>
      <c r="AV459" s="319"/>
      <c r="AW459" s="319"/>
      <c r="AX459" s="319"/>
      <c r="AY459" s="319"/>
      <c r="AZ459" s="319"/>
      <c r="BA459" s="319"/>
      <c r="BB459" s="319"/>
      <c r="BC459" s="319"/>
      <c r="BD459" s="319"/>
      <c r="BE459" s="319"/>
      <c r="BF459" s="319"/>
      <c r="BG459" s="319"/>
      <c r="BH459" s="319"/>
      <c r="BI459" s="261"/>
      <c r="BJ459" s="261"/>
      <c r="BK459" s="261"/>
      <c r="BL459" s="261"/>
      <c r="BM459" s="261"/>
      <c r="BN459" s="261"/>
      <c r="BO459" s="261"/>
      <c r="BP459" s="261"/>
      <c r="BQ459" s="261"/>
      <c r="BR459" s="261"/>
      <c r="BS459" s="261"/>
      <c r="BT459" s="261"/>
      <c r="BU459" s="261"/>
      <c r="BV459" s="261"/>
      <c r="BW459" s="261"/>
    </row>
    <row r="460" spans="2:75">
      <c r="B460" s="230"/>
      <c r="C460" s="230"/>
      <c r="D460" s="230"/>
      <c r="E460" s="230"/>
      <c r="F460" s="230"/>
      <c r="G460" s="230"/>
      <c r="H460" s="230"/>
      <c r="I460" s="230"/>
      <c r="J460" s="230"/>
      <c r="K460" s="230"/>
      <c r="L460" s="230"/>
      <c r="M460" s="230"/>
      <c r="N460" s="315"/>
      <c r="O460" s="315"/>
      <c r="P460" s="315"/>
      <c r="Q460" s="315"/>
      <c r="R460" s="315"/>
      <c r="S460" s="315"/>
      <c r="T460" s="315"/>
      <c r="U460" s="315"/>
      <c r="V460" s="315"/>
      <c r="W460" s="315"/>
      <c r="X460" s="315"/>
      <c r="Y460" s="315"/>
      <c r="Z460" s="315"/>
      <c r="AA460" s="315"/>
      <c r="AB460" s="315"/>
      <c r="AC460" s="315"/>
      <c r="AD460" s="315"/>
      <c r="AE460" s="315"/>
      <c r="AF460" s="315"/>
      <c r="AG460" s="315"/>
      <c r="AH460" s="315"/>
      <c r="AI460" s="315"/>
      <c r="AJ460" s="315"/>
      <c r="AK460" s="315"/>
      <c r="AL460" s="315"/>
      <c r="AM460" s="315"/>
      <c r="AN460" s="315"/>
      <c r="AO460" s="315"/>
      <c r="AP460" s="315"/>
      <c r="AQ460" s="320"/>
      <c r="AR460" s="319"/>
      <c r="AS460" s="319"/>
      <c r="AT460" s="319"/>
      <c r="AU460" s="319"/>
      <c r="AV460" s="319"/>
      <c r="AW460" s="319"/>
      <c r="AX460" s="319"/>
      <c r="AY460" s="319"/>
      <c r="AZ460" s="319"/>
      <c r="BA460" s="319"/>
      <c r="BB460" s="319"/>
      <c r="BC460" s="319"/>
      <c r="BD460" s="319"/>
      <c r="BE460" s="319"/>
      <c r="BF460" s="319"/>
      <c r="BG460" s="319"/>
      <c r="BH460" s="319"/>
      <c r="BI460" s="261"/>
      <c r="BJ460" s="261"/>
      <c r="BK460" s="261"/>
      <c r="BL460" s="261"/>
      <c r="BM460" s="261"/>
      <c r="BN460" s="261"/>
      <c r="BO460" s="261"/>
      <c r="BP460" s="261"/>
      <c r="BQ460" s="261"/>
      <c r="BR460" s="261"/>
      <c r="BS460" s="261"/>
      <c r="BT460" s="261"/>
      <c r="BU460" s="261"/>
      <c r="BV460" s="261"/>
      <c r="BW460" s="261"/>
    </row>
    <row r="461" spans="2:75">
      <c r="B461" s="230"/>
      <c r="C461" s="230"/>
      <c r="D461" s="230"/>
      <c r="E461" s="230"/>
      <c r="F461" s="230"/>
      <c r="G461" s="230"/>
      <c r="H461" s="230"/>
      <c r="I461" s="230"/>
      <c r="J461" s="230"/>
      <c r="K461" s="230"/>
      <c r="L461" s="230"/>
      <c r="M461" s="230"/>
      <c r="N461" s="315"/>
      <c r="O461" s="315"/>
      <c r="P461" s="315"/>
      <c r="Q461" s="315"/>
      <c r="R461" s="315"/>
      <c r="S461" s="315"/>
      <c r="T461" s="315"/>
      <c r="U461" s="315"/>
      <c r="V461" s="315"/>
      <c r="W461" s="315"/>
      <c r="X461" s="315"/>
      <c r="Y461" s="315"/>
      <c r="Z461" s="315"/>
      <c r="AA461" s="315"/>
      <c r="AB461" s="315"/>
      <c r="AC461" s="315"/>
      <c r="AD461" s="315"/>
      <c r="AE461" s="315"/>
      <c r="AF461" s="315"/>
      <c r="AG461" s="315"/>
      <c r="AH461" s="315"/>
      <c r="AI461" s="315"/>
      <c r="AJ461" s="315"/>
      <c r="AK461" s="315"/>
      <c r="AL461" s="315"/>
      <c r="AM461" s="315"/>
      <c r="AN461" s="315"/>
      <c r="AO461" s="315"/>
      <c r="AP461" s="315"/>
      <c r="AQ461" s="320"/>
      <c r="AR461" s="319"/>
      <c r="AS461" s="319"/>
      <c r="AT461" s="319"/>
      <c r="AU461" s="319"/>
      <c r="AV461" s="319"/>
      <c r="AW461" s="319"/>
      <c r="AX461" s="319"/>
      <c r="AY461" s="319"/>
      <c r="AZ461" s="319"/>
      <c r="BA461" s="319"/>
      <c r="BB461" s="319"/>
      <c r="BC461" s="319"/>
      <c r="BD461" s="319"/>
      <c r="BE461" s="319"/>
      <c r="BF461" s="319"/>
      <c r="BG461" s="319"/>
      <c r="BH461" s="319"/>
      <c r="BI461" s="261"/>
      <c r="BJ461" s="261"/>
      <c r="BK461" s="261"/>
      <c r="BL461" s="261"/>
      <c r="BM461" s="261"/>
      <c r="BN461" s="261"/>
      <c r="BO461" s="261"/>
      <c r="BP461" s="261"/>
      <c r="BQ461" s="261"/>
      <c r="BR461" s="261"/>
      <c r="BS461" s="261"/>
      <c r="BT461" s="261"/>
      <c r="BU461" s="261"/>
      <c r="BV461" s="261"/>
      <c r="BW461" s="261"/>
    </row>
    <row r="462" spans="2:75">
      <c r="B462" s="230"/>
      <c r="C462" s="230"/>
      <c r="D462" s="230"/>
      <c r="E462" s="230"/>
      <c r="F462" s="230"/>
      <c r="G462" s="230"/>
      <c r="H462" s="230"/>
      <c r="I462" s="230"/>
      <c r="J462" s="230"/>
      <c r="K462" s="230"/>
      <c r="L462" s="230"/>
      <c r="M462" s="230"/>
      <c r="N462" s="315"/>
      <c r="O462" s="315"/>
      <c r="P462" s="315"/>
      <c r="Q462" s="315"/>
      <c r="R462" s="315"/>
      <c r="S462" s="315"/>
      <c r="T462" s="315"/>
      <c r="U462" s="315"/>
      <c r="V462" s="315"/>
      <c r="W462" s="315"/>
      <c r="X462" s="315"/>
      <c r="Y462" s="315"/>
      <c r="Z462" s="315"/>
      <c r="AA462" s="315"/>
      <c r="AB462" s="315"/>
      <c r="AC462" s="315"/>
      <c r="AD462" s="315"/>
      <c r="AE462" s="315"/>
      <c r="AF462" s="315"/>
      <c r="AG462" s="315"/>
      <c r="AH462" s="315"/>
      <c r="AI462" s="315"/>
      <c r="AJ462" s="315"/>
      <c r="AK462" s="315"/>
      <c r="AL462" s="315"/>
      <c r="AM462" s="315"/>
      <c r="AN462" s="315"/>
      <c r="AO462" s="315"/>
      <c r="AP462" s="315"/>
      <c r="AQ462" s="320"/>
      <c r="AR462" s="319"/>
      <c r="AS462" s="319"/>
      <c r="AT462" s="319"/>
      <c r="AU462" s="319"/>
      <c r="AV462" s="319"/>
      <c r="AW462" s="319"/>
      <c r="AX462" s="319"/>
      <c r="AY462" s="319"/>
      <c r="AZ462" s="319"/>
      <c r="BA462" s="319"/>
      <c r="BB462" s="319"/>
      <c r="BC462" s="319"/>
      <c r="BD462" s="319"/>
      <c r="BE462" s="319"/>
      <c r="BF462" s="319"/>
      <c r="BG462" s="319"/>
      <c r="BH462" s="319"/>
      <c r="BI462" s="261"/>
      <c r="BJ462" s="261"/>
      <c r="BK462" s="261"/>
      <c r="BL462" s="261"/>
      <c r="BM462" s="261"/>
      <c r="BN462" s="261"/>
      <c r="BO462" s="261"/>
      <c r="BP462" s="261"/>
      <c r="BQ462" s="261"/>
      <c r="BR462" s="261"/>
      <c r="BS462" s="261"/>
      <c r="BT462" s="261"/>
      <c r="BU462" s="261"/>
      <c r="BV462" s="261"/>
      <c r="BW462" s="261"/>
    </row>
    <row r="463" spans="2:75">
      <c r="B463" s="230"/>
      <c r="C463" s="230"/>
      <c r="D463" s="230"/>
      <c r="E463" s="230"/>
      <c r="F463" s="230"/>
      <c r="G463" s="230"/>
      <c r="H463" s="230"/>
      <c r="I463" s="230"/>
      <c r="J463" s="230"/>
      <c r="K463" s="230"/>
      <c r="L463" s="230"/>
      <c r="M463" s="230"/>
      <c r="N463" s="315"/>
      <c r="O463" s="315"/>
      <c r="P463" s="315"/>
      <c r="Q463" s="315"/>
      <c r="R463" s="315"/>
      <c r="S463" s="315"/>
      <c r="T463" s="315"/>
      <c r="U463" s="315"/>
      <c r="V463" s="315"/>
      <c r="W463" s="315"/>
      <c r="X463" s="315"/>
      <c r="Y463" s="315"/>
      <c r="Z463" s="315"/>
      <c r="AA463" s="315"/>
      <c r="AB463" s="315"/>
      <c r="AC463" s="315"/>
      <c r="AD463" s="315"/>
      <c r="AE463" s="315"/>
      <c r="AF463" s="315"/>
      <c r="AG463" s="315"/>
      <c r="AH463" s="315"/>
      <c r="AI463" s="315"/>
      <c r="AJ463" s="315"/>
      <c r="AK463" s="315"/>
      <c r="AL463" s="315"/>
      <c r="AM463" s="315"/>
      <c r="AN463" s="315"/>
      <c r="AO463" s="315"/>
      <c r="AP463" s="315"/>
      <c r="AQ463" s="320"/>
      <c r="AR463" s="319"/>
      <c r="AS463" s="319"/>
      <c r="AT463" s="319"/>
      <c r="AU463" s="319"/>
      <c r="AV463" s="319"/>
      <c r="AW463" s="319"/>
      <c r="AX463" s="319"/>
      <c r="AY463" s="319"/>
      <c r="AZ463" s="319"/>
      <c r="BA463" s="319"/>
      <c r="BB463" s="319"/>
      <c r="BC463" s="319"/>
      <c r="BD463" s="319"/>
      <c r="BE463" s="319"/>
      <c r="BF463" s="319"/>
      <c r="BG463" s="319"/>
      <c r="BH463" s="319"/>
      <c r="BI463" s="261"/>
      <c r="BJ463" s="261"/>
      <c r="BK463" s="261"/>
      <c r="BL463" s="261"/>
      <c r="BM463" s="261"/>
      <c r="BN463" s="261"/>
      <c r="BO463" s="261"/>
      <c r="BP463" s="261"/>
      <c r="BQ463" s="261"/>
      <c r="BR463" s="261"/>
      <c r="BS463" s="261"/>
      <c r="BT463" s="261"/>
      <c r="BU463" s="261"/>
      <c r="BV463" s="261"/>
      <c r="BW463" s="261"/>
    </row>
    <row r="464" spans="2:75">
      <c r="B464" s="230"/>
      <c r="C464" s="230"/>
      <c r="D464" s="230"/>
      <c r="E464" s="230"/>
      <c r="F464" s="230"/>
      <c r="G464" s="230"/>
      <c r="H464" s="230"/>
      <c r="I464" s="230"/>
      <c r="J464" s="230"/>
      <c r="K464" s="230"/>
      <c r="L464" s="230"/>
      <c r="M464" s="230"/>
      <c r="N464" s="315"/>
      <c r="O464" s="315"/>
      <c r="P464" s="315"/>
      <c r="Q464" s="315"/>
      <c r="R464" s="315"/>
      <c r="S464" s="315"/>
      <c r="T464" s="315"/>
      <c r="U464" s="315"/>
      <c r="V464" s="315"/>
      <c r="W464" s="315"/>
      <c r="X464" s="315"/>
      <c r="Y464" s="315"/>
      <c r="Z464" s="315"/>
      <c r="AA464" s="315"/>
      <c r="AB464" s="315"/>
      <c r="AC464" s="315"/>
      <c r="AD464" s="315"/>
      <c r="AE464" s="315"/>
      <c r="AF464" s="315"/>
      <c r="AG464" s="315"/>
      <c r="AH464" s="315"/>
      <c r="AI464" s="315"/>
      <c r="AJ464" s="315"/>
      <c r="AK464" s="315"/>
      <c r="AL464" s="315"/>
      <c r="AM464" s="315"/>
      <c r="AN464" s="315"/>
      <c r="AO464" s="315"/>
      <c r="AP464" s="315"/>
      <c r="AQ464" s="320"/>
      <c r="AR464" s="319"/>
      <c r="AS464" s="319"/>
      <c r="AT464" s="319"/>
      <c r="AU464" s="319"/>
      <c r="AV464" s="319"/>
      <c r="AW464" s="319"/>
      <c r="AX464" s="319"/>
      <c r="AY464" s="319"/>
      <c r="AZ464" s="319"/>
      <c r="BA464" s="319"/>
      <c r="BB464" s="319"/>
      <c r="BC464" s="319"/>
      <c r="BD464" s="319"/>
      <c r="BE464" s="319"/>
      <c r="BF464" s="319"/>
      <c r="BG464" s="319"/>
      <c r="BH464" s="319"/>
      <c r="BI464" s="261"/>
      <c r="BJ464" s="261"/>
      <c r="BK464" s="261"/>
      <c r="BL464" s="261"/>
      <c r="BM464" s="261"/>
      <c r="BN464" s="261"/>
      <c r="BO464" s="261"/>
      <c r="BP464" s="261"/>
      <c r="BQ464" s="261"/>
      <c r="BR464" s="261"/>
      <c r="BS464" s="261"/>
      <c r="BT464" s="261"/>
      <c r="BU464" s="261"/>
      <c r="BV464" s="261"/>
      <c r="BW464" s="261"/>
    </row>
    <row r="465" spans="2:75">
      <c r="B465" s="230"/>
      <c r="C465" s="230"/>
      <c r="D465" s="230"/>
      <c r="E465" s="230"/>
      <c r="F465" s="230"/>
      <c r="G465" s="230"/>
      <c r="H465" s="230"/>
      <c r="I465" s="230"/>
      <c r="J465" s="230"/>
      <c r="K465" s="230"/>
      <c r="L465" s="230"/>
      <c r="M465" s="230"/>
      <c r="N465" s="315"/>
      <c r="O465" s="315"/>
      <c r="P465" s="315"/>
      <c r="Q465" s="315"/>
      <c r="R465" s="315"/>
      <c r="S465" s="315"/>
      <c r="T465" s="315"/>
      <c r="U465" s="315"/>
      <c r="V465" s="315"/>
      <c r="W465" s="315"/>
      <c r="X465" s="315"/>
      <c r="Y465" s="315"/>
      <c r="Z465" s="315"/>
      <c r="AA465" s="315"/>
      <c r="AB465" s="315"/>
      <c r="AC465" s="315"/>
      <c r="AD465" s="315"/>
      <c r="AE465" s="315"/>
      <c r="AF465" s="315"/>
      <c r="AG465" s="315"/>
      <c r="AH465" s="315"/>
      <c r="AI465" s="315"/>
      <c r="AJ465" s="315"/>
      <c r="AK465" s="315"/>
      <c r="AL465" s="315"/>
      <c r="AM465" s="315"/>
      <c r="AN465" s="315"/>
      <c r="AO465" s="315"/>
      <c r="AP465" s="315"/>
      <c r="AQ465" s="320"/>
      <c r="AR465" s="319"/>
      <c r="AS465" s="319"/>
      <c r="AT465" s="319"/>
      <c r="AU465" s="319"/>
      <c r="AV465" s="319"/>
      <c r="AW465" s="319"/>
      <c r="AX465" s="319"/>
      <c r="AY465" s="319"/>
      <c r="AZ465" s="319"/>
      <c r="BA465" s="319"/>
      <c r="BB465" s="319"/>
      <c r="BC465" s="319"/>
      <c r="BD465" s="319"/>
      <c r="BE465" s="319"/>
      <c r="BF465" s="319"/>
      <c r="BG465" s="319"/>
      <c r="BH465" s="319"/>
      <c r="BI465" s="261"/>
      <c r="BJ465" s="261"/>
      <c r="BK465" s="261"/>
      <c r="BL465" s="261"/>
      <c r="BM465" s="261"/>
      <c r="BN465" s="261"/>
      <c r="BO465" s="261"/>
      <c r="BP465" s="261"/>
      <c r="BQ465" s="261"/>
      <c r="BR465" s="261"/>
      <c r="BS465" s="261"/>
      <c r="BT465" s="261"/>
      <c r="BU465" s="261"/>
      <c r="BV465" s="261"/>
      <c r="BW465" s="261"/>
    </row>
    <row r="466" spans="2:75">
      <c r="B466" s="230"/>
      <c r="C466" s="230"/>
      <c r="D466" s="230"/>
      <c r="E466" s="230"/>
      <c r="F466" s="230"/>
      <c r="G466" s="230"/>
      <c r="H466" s="230"/>
      <c r="I466" s="230"/>
      <c r="J466" s="230"/>
      <c r="K466" s="230"/>
      <c r="L466" s="230"/>
      <c r="M466" s="230"/>
      <c r="N466" s="315"/>
      <c r="O466" s="315"/>
      <c r="P466" s="315"/>
      <c r="Q466" s="315"/>
      <c r="R466" s="315"/>
      <c r="S466" s="315"/>
      <c r="T466" s="315"/>
      <c r="U466" s="315"/>
      <c r="V466" s="315"/>
      <c r="W466" s="315"/>
      <c r="X466" s="315"/>
      <c r="Y466" s="315"/>
      <c r="Z466" s="315"/>
      <c r="AA466" s="315"/>
      <c r="AB466" s="315"/>
      <c r="AC466" s="315"/>
      <c r="AD466" s="315"/>
      <c r="AE466" s="315"/>
      <c r="AF466" s="315"/>
      <c r="AG466" s="315"/>
      <c r="AH466" s="315"/>
      <c r="AI466" s="315"/>
      <c r="AJ466" s="315"/>
      <c r="AK466" s="315"/>
      <c r="AL466" s="315"/>
      <c r="AM466" s="315"/>
      <c r="AN466" s="315"/>
      <c r="AO466" s="315"/>
      <c r="AP466" s="315"/>
      <c r="AQ466" s="320"/>
      <c r="AR466" s="319"/>
      <c r="AS466" s="319"/>
      <c r="AT466" s="319"/>
      <c r="AU466" s="319"/>
      <c r="AV466" s="319"/>
      <c r="AW466" s="319"/>
      <c r="AX466" s="319"/>
      <c r="AY466" s="319"/>
      <c r="AZ466" s="319"/>
      <c r="BA466" s="319"/>
      <c r="BB466" s="319"/>
      <c r="BC466" s="319"/>
      <c r="BD466" s="319"/>
      <c r="BE466" s="319"/>
      <c r="BF466" s="319"/>
      <c r="BG466" s="319"/>
      <c r="BH466" s="319"/>
      <c r="BI466" s="261"/>
      <c r="BJ466" s="261"/>
      <c r="BK466" s="261"/>
      <c r="BL466" s="261"/>
      <c r="BM466" s="261"/>
      <c r="BN466" s="261"/>
      <c r="BO466" s="261"/>
      <c r="BP466" s="261"/>
      <c r="BQ466" s="261"/>
      <c r="BR466" s="261"/>
      <c r="BS466" s="261"/>
      <c r="BT466" s="261"/>
      <c r="BU466" s="261"/>
      <c r="BV466" s="261"/>
      <c r="BW466" s="261"/>
    </row>
    <row r="467" spans="2:75">
      <c r="B467" s="230"/>
      <c r="C467" s="230"/>
      <c r="D467" s="230"/>
      <c r="E467" s="230"/>
      <c r="F467" s="230"/>
      <c r="G467" s="230"/>
      <c r="H467" s="230"/>
      <c r="I467" s="230"/>
      <c r="J467" s="230"/>
      <c r="K467" s="230"/>
      <c r="L467" s="230"/>
      <c r="M467" s="230"/>
      <c r="N467" s="315"/>
      <c r="O467" s="315"/>
      <c r="P467" s="315"/>
      <c r="Q467" s="315"/>
      <c r="R467" s="315"/>
      <c r="S467" s="315"/>
      <c r="T467" s="315"/>
      <c r="U467" s="315"/>
      <c r="V467" s="315"/>
      <c r="W467" s="315"/>
      <c r="X467" s="315"/>
      <c r="Y467" s="315"/>
      <c r="Z467" s="315"/>
      <c r="AA467" s="315"/>
      <c r="AB467" s="315"/>
      <c r="AC467" s="315"/>
      <c r="AD467" s="315"/>
      <c r="AE467" s="315"/>
      <c r="AF467" s="315"/>
      <c r="AG467" s="315"/>
      <c r="AH467" s="315"/>
      <c r="AI467" s="315"/>
      <c r="AJ467" s="315"/>
      <c r="AK467" s="315"/>
      <c r="AL467" s="315"/>
      <c r="AM467" s="315"/>
      <c r="AN467" s="315"/>
      <c r="AO467" s="315"/>
      <c r="AP467" s="315"/>
      <c r="AQ467" s="320"/>
      <c r="AR467" s="319"/>
      <c r="AS467" s="319"/>
      <c r="AT467" s="319"/>
      <c r="AU467" s="319"/>
      <c r="AV467" s="319"/>
      <c r="AW467" s="319"/>
      <c r="AX467" s="319"/>
      <c r="AY467" s="319"/>
      <c r="AZ467" s="319"/>
      <c r="BA467" s="319"/>
      <c r="BB467" s="319"/>
      <c r="BC467" s="319"/>
      <c r="BD467" s="319"/>
      <c r="BE467" s="319"/>
      <c r="BF467" s="319"/>
      <c r="BG467" s="319"/>
      <c r="BH467" s="319"/>
      <c r="BI467" s="261"/>
      <c r="BJ467" s="261"/>
      <c r="BK467" s="261"/>
      <c r="BL467" s="261"/>
      <c r="BM467" s="261"/>
      <c r="BN467" s="261"/>
      <c r="BO467" s="261"/>
      <c r="BP467" s="261"/>
      <c r="BQ467" s="261"/>
      <c r="BR467" s="261"/>
      <c r="BS467" s="261"/>
      <c r="BT467" s="261"/>
      <c r="BU467" s="261"/>
      <c r="BV467" s="261"/>
      <c r="BW467" s="261"/>
    </row>
    <row r="468" spans="2:75">
      <c r="B468" s="230"/>
      <c r="C468" s="230"/>
      <c r="D468" s="230"/>
      <c r="E468" s="230"/>
      <c r="F468" s="230"/>
      <c r="G468" s="230"/>
      <c r="H468" s="230"/>
      <c r="I468" s="230"/>
      <c r="J468" s="230"/>
      <c r="K468" s="230"/>
      <c r="L468" s="230"/>
      <c r="M468" s="230"/>
      <c r="N468" s="315"/>
      <c r="O468" s="315"/>
      <c r="P468" s="315"/>
      <c r="Q468" s="315"/>
      <c r="R468" s="315"/>
      <c r="S468" s="315"/>
      <c r="T468" s="315"/>
      <c r="U468" s="315"/>
      <c r="V468" s="315"/>
      <c r="W468" s="315"/>
      <c r="X468" s="315"/>
      <c r="Y468" s="315"/>
      <c r="Z468" s="315"/>
      <c r="AA468" s="315"/>
      <c r="AB468" s="315"/>
      <c r="AC468" s="315"/>
      <c r="AD468" s="315"/>
      <c r="AE468" s="315"/>
      <c r="AF468" s="315"/>
      <c r="AG468" s="315"/>
      <c r="AH468" s="315"/>
      <c r="AI468" s="315"/>
      <c r="AJ468" s="315"/>
      <c r="AK468" s="315"/>
      <c r="AL468" s="315"/>
      <c r="AM468" s="315"/>
      <c r="AN468" s="315"/>
      <c r="AO468" s="315"/>
      <c r="AP468" s="315"/>
      <c r="AQ468" s="320"/>
      <c r="AR468" s="319"/>
      <c r="AS468" s="319"/>
      <c r="AT468" s="319"/>
      <c r="AU468" s="319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19"/>
      <c r="BI468" s="261"/>
      <c r="BJ468" s="261"/>
      <c r="BK468" s="261"/>
      <c r="BL468" s="261"/>
      <c r="BM468" s="261"/>
      <c r="BN468" s="261"/>
      <c r="BO468" s="261"/>
      <c r="BP468" s="261"/>
      <c r="BQ468" s="261"/>
      <c r="BR468" s="261"/>
      <c r="BS468" s="261"/>
      <c r="BT468" s="261"/>
      <c r="BU468" s="261"/>
      <c r="BV468" s="261"/>
      <c r="BW468" s="261"/>
    </row>
    <row r="469" spans="2:75">
      <c r="B469" s="230"/>
      <c r="C469" s="230"/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315"/>
      <c r="O469" s="315"/>
      <c r="P469" s="315"/>
      <c r="Q469" s="315"/>
      <c r="R469" s="315"/>
      <c r="S469" s="315"/>
      <c r="T469" s="315"/>
      <c r="U469" s="315"/>
      <c r="V469" s="315"/>
      <c r="W469" s="315"/>
      <c r="X469" s="315"/>
      <c r="Y469" s="315"/>
      <c r="Z469" s="315"/>
      <c r="AA469" s="315"/>
      <c r="AB469" s="315"/>
      <c r="AC469" s="315"/>
      <c r="AD469" s="315"/>
      <c r="AE469" s="315"/>
      <c r="AF469" s="315"/>
      <c r="AG469" s="315"/>
      <c r="AH469" s="315"/>
      <c r="AI469" s="315"/>
      <c r="AJ469" s="315"/>
      <c r="AK469" s="315"/>
      <c r="AL469" s="315"/>
      <c r="AM469" s="315"/>
      <c r="AN469" s="315"/>
      <c r="AO469" s="315"/>
      <c r="AP469" s="315"/>
      <c r="AQ469" s="320"/>
      <c r="AR469" s="319"/>
      <c r="AS469" s="319"/>
      <c r="AT469" s="319"/>
      <c r="AU469" s="319"/>
      <c r="AV469" s="319"/>
      <c r="AW469" s="319"/>
      <c r="AX469" s="319"/>
      <c r="AY469" s="319"/>
      <c r="AZ469" s="319"/>
      <c r="BA469" s="319"/>
      <c r="BB469" s="319"/>
      <c r="BC469" s="319"/>
      <c r="BD469" s="319"/>
      <c r="BE469" s="319"/>
      <c r="BF469" s="319"/>
      <c r="BG469" s="319"/>
      <c r="BH469" s="319"/>
      <c r="BI469" s="261"/>
      <c r="BJ469" s="261"/>
      <c r="BK469" s="261"/>
      <c r="BL469" s="261"/>
      <c r="BM469" s="261"/>
      <c r="BN469" s="261"/>
      <c r="BO469" s="261"/>
      <c r="BP469" s="261"/>
      <c r="BQ469" s="261"/>
      <c r="BR469" s="261"/>
      <c r="BS469" s="261"/>
      <c r="BT469" s="261"/>
      <c r="BU469" s="261"/>
      <c r="BV469" s="261"/>
      <c r="BW469" s="261"/>
    </row>
    <row r="470" spans="2:75">
      <c r="B470" s="230"/>
      <c r="C470" s="230"/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315"/>
      <c r="O470" s="315"/>
      <c r="P470" s="315"/>
      <c r="Q470" s="315"/>
      <c r="R470" s="315"/>
      <c r="S470" s="315"/>
      <c r="T470" s="315"/>
      <c r="U470" s="315"/>
      <c r="V470" s="315"/>
      <c r="W470" s="315"/>
      <c r="X470" s="315"/>
      <c r="Y470" s="315"/>
      <c r="Z470" s="315"/>
      <c r="AA470" s="315"/>
      <c r="AB470" s="315"/>
      <c r="AC470" s="315"/>
      <c r="AD470" s="315"/>
      <c r="AE470" s="315"/>
      <c r="AF470" s="315"/>
      <c r="AG470" s="315"/>
      <c r="AH470" s="315"/>
      <c r="AI470" s="315"/>
      <c r="AJ470" s="315"/>
      <c r="AK470" s="315"/>
      <c r="AL470" s="315"/>
      <c r="AM470" s="315"/>
      <c r="AN470" s="315"/>
      <c r="AO470" s="315"/>
      <c r="AP470" s="315"/>
      <c r="AQ470" s="320"/>
      <c r="AR470" s="319"/>
      <c r="AS470" s="319"/>
      <c r="AT470" s="319"/>
      <c r="AU470" s="319"/>
      <c r="AV470" s="319"/>
      <c r="AW470" s="319"/>
      <c r="AX470" s="319"/>
      <c r="AY470" s="319"/>
      <c r="AZ470" s="319"/>
      <c r="BA470" s="319"/>
      <c r="BB470" s="319"/>
      <c r="BC470" s="319"/>
      <c r="BD470" s="319"/>
      <c r="BE470" s="319"/>
      <c r="BF470" s="319"/>
      <c r="BG470" s="319"/>
      <c r="BH470" s="319"/>
      <c r="BI470" s="261"/>
      <c r="BJ470" s="261"/>
      <c r="BK470" s="261"/>
      <c r="BL470" s="261"/>
      <c r="BM470" s="261"/>
      <c r="BN470" s="261"/>
      <c r="BO470" s="261"/>
      <c r="BP470" s="261"/>
      <c r="BQ470" s="261"/>
      <c r="BR470" s="261"/>
      <c r="BS470" s="261"/>
      <c r="BT470" s="261"/>
      <c r="BU470" s="261"/>
      <c r="BV470" s="261"/>
      <c r="BW470" s="261"/>
    </row>
    <row r="471" spans="2:75">
      <c r="B471" s="230"/>
      <c r="C471" s="230"/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315"/>
      <c r="O471" s="315"/>
      <c r="P471" s="315"/>
      <c r="Q471" s="315"/>
      <c r="R471" s="315"/>
      <c r="S471" s="315"/>
      <c r="T471" s="315"/>
      <c r="U471" s="315"/>
      <c r="V471" s="315"/>
      <c r="W471" s="315"/>
      <c r="X471" s="315"/>
      <c r="Y471" s="315"/>
      <c r="Z471" s="315"/>
      <c r="AA471" s="315"/>
      <c r="AB471" s="315"/>
      <c r="AC471" s="315"/>
      <c r="AD471" s="315"/>
      <c r="AE471" s="315"/>
      <c r="AF471" s="315"/>
      <c r="AG471" s="315"/>
      <c r="AH471" s="315"/>
      <c r="AI471" s="315"/>
      <c r="AJ471" s="315"/>
      <c r="AK471" s="315"/>
      <c r="AL471" s="315"/>
      <c r="AM471" s="315"/>
      <c r="AN471" s="315"/>
      <c r="AO471" s="315"/>
      <c r="AP471" s="315"/>
      <c r="AQ471" s="320"/>
      <c r="AR471" s="319"/>
      <c r="AS471" s="319"/>
      <c r="AT471" s="319"/>
      <c r="AU471" s="319"/>
      <c r="AV471" s="319"/>
      <c r="AW471" s="319"/>
      <c r="AX471" s="319"/>
      <c r="AY471" s="319"/>
      <c r="AZ471" s="319"/>
      <c r="BA471" s="319"/>
      <c r="BB471" s="319"/>
      <c r="BC471" s="319"/>
      <c r="BD471" s="319"/>
      <c r="BE471" s="319"/>
      <c r="BF471" s="319"/>
      <c r="BG471" s="319"/>
      <c r="BH471" s="319"/>
      <c r="BI471" s="261"/>
      <c r="BJ471" s="261"/>
      <c r="BK471" s="261"/>
      <c r="BL471" s="261"/>
      <c r="BM471" s="261"/>
      <c r="BN471" s="261"/>
      <c r="BO471" s="261"/>
      <c r="BP471" s="261"/>
      <c r="BQ471" s="261"/>
      <c r="BR471" s="261"/>
      <c r="BS471" s="261"/>
      <c r="BT471" s="261"/>
      <c r="BU471" s="261"/>
      <c r="BV471" s="261"/>
      <c r="BW471" s="261"/>
    </row>
    <row r="472" spans="2:75">
      <c r="B472" s="230"/>
      <c r="C472" s="230"/>
      <c r="D472" s="230"/>
      <c r="E472" s="230"/>
      <c r="F472" s="230"/>
      <c r="G472" s="230"/>
      <c r="H472" s="230"/>
      <c r="I472" s="230"/>
      <c r="J472" s="230"/>
      <c r="K472" s="230"/>
      <c r="L472" s="230"/>
      <c r="M472" s="230"/>
      <c r="N472" s="315"/>
      <c r="O472" s="315"/>
      <c r="P472" s="315"/>
      <c r="Q472" s="315"/>
      <c r="R472" s="315"/>
      <c r="S472" s="315"/>
      <c r="T472" s="315"/>
      <c r="U472" s="315"/>
      <c r="V472" s="315"/>
      <c r="W472" s="315"/>
      <c r="X472" s="315"/>
      <c r="Y472" s="315"/>
      <c r="Z472" s="315"/>
      <c r="AA472" s="315"/>
      <c r="AB472" s="315"/>
      <c r="AC472" s="315"/>
      <c r="AD472" s="315"/>
      <c r="AE472" s="315"/>
      <c r="AF472" s="315"/>
      <c r="AG472" s="315"/>
      <c r="AH472" s="315"/>
      <c r="AI472" s="315"/>
      <c r="AJ472" s="315"/>
      <c r="AK472" s="315"/>
      <c r="AL472" s="315"/>
      <c r="AM472" s="315"/>
      <c r="AN472" s="315"/>
      <c r="AO472" s="315"/>
      <c r="AP472" s="315"/>
      <c r="AQ472" s="320"/>
      <c r="AR472" s="319"/>
      <c r="AS472" s="319"/>
      <c r="AT472" s="319"/>
      <c r="AU472" s="319"/>
      <c r="AV472" s="319"/>
      <c r="AW472" s="319"/>
      <c r="AX472" s="319"/>
      <c r="AY472" s="319"/>
      <c r="AZ472" s="319"/>
      <c r="BA472" s="319"/>
      <c r="BB472" s="319"/>
      <c r="BC472" s="319"/>
      <c r="BD472" s="319"/>
      <c r="BE472" s="319"/>
      <c r="BF472" s="319"/>
      <c r="BG472" s="319"/>
      <c r="BH472" s="319"/>
      <c r="BI472" s="261"/>
      <c r="BJ472" s="261"/>
      <c r="BK472" s="261"/>
      <c r="BL472" s="261"/>
      <c r="BM472" s="261"/>
      <c r="BN472" s="261"/>
      <c r="BO472" s="261"/>
      <c r="BP472" s="261"/>
      <c r="BQ472" s="261"/>
      <c r="BR472" s="261"/>
      <c r="BS472" s="261"/>
      <c r="BT472" s="261"/>
      <c r="BU472" s="261"/>
      <c r="BV472" s="261"/>
      <c r="BW472" s="261"/>
    </row>
    <row r="473" spans="2:75">
      <c r="B473" s="230"/>
      <c r="C473" s="230"/>
      <c r="D473" s="230"/>
      <c r="E473" s="230"/>
      <c r="F473" s="230"/>
      <c r="G473" s="230"/>
      <c r="H473" s="230"/>
      <c r="I473" s="230"/>
      <c r="J473" s="230"/>
      <c r="K473" s="230"/>
      <c r="L473" s="230"/>
      <c r="M473" s="230"/>
      <c r="N473" s="315"/>
      <c r="O473" s="315"/>
      <c r="P473" s="315"/>
      <c r="Q473" s="315"/>
      <c r="R473" s="315"/>
      <c r="S473" s="315"/>
      <c r="T473" s="315"/>
      <c r="U473" s="315"/>
      <c r="V473" s="315"/>
      <c r="W473" s="315"/>
      <c r="X473" s="315"/>
      <c r="Y473" s="315"/>
      <c r="Z473" s="315"/>
      <c r="AA473" s="315"/>
      <c r="AB473" s="315"/>
      <c r="AC473" s="315"/>
      <c r="AD473" s="315"/>
      <c r="AE473" s="315"/>
      <c r="AF473" s="315"/>
      <c r="AG473" s="315"/>
      <c r="AH473" s="315"/>
      <c r="AI473" s="315"/>
      <c r="AJ473" s="315"/>
      <c r="AK473" s="315"/>
      <c r="AL473" s="315"/>
      <c r="AM473" s="315"/>
      <c r="AN473" s="315"/>
      <c r="AO473" s="315"/>
      <c r="AP473" s="315"/>
      <c r="AQ473" s="320"/>
      <c r="AR473" s="319"/>
      <c r="AS473" s="319"/>
      <c r="AT473" s="319"/>
      <c r="AU473" s="319"/>
      <c r="AV473" s="319"/>
      <c r="AW473" s="319"/>
      <c r="AX473" s="319"/>
      <c r="AY473" s="319"/>
      <c r="AZ473" s="319"/>
      <c r="BA473" s="319"/>
      <c r="BB473" s="319"/>
      <c r="BC473" s="319"/>
      <c r="BD473" s="319"/>
      <c r="BE473" s="319"/>
      <c r="BF473" s="319"/>
      <c r="BG473" s="319"/>
      <c r="BH473" s="319"/>
      <c r="BI473" s="261"/>
      <c r="BJ473" s="261"/>
      <c r="BK473" s="261"/>
      <c r="BL473" s="261"/>
      <c r="BM473" s="261"/>
      <c r="BN473" s="261"/>
      <c r="BO473" s="261"/>
      <c r="BP473" s="261"/>
      <c r="BQ473" s="261"/>
      <c r="BR473" s="261"/>
      <c r="BS473" s="261"/>
      <c r="BT473" s="261"/>
      <c r="BU473" s="261"/>
      <c r="BV473" s="261"/>
      <c r="BW473" s="261"/>
    </row>
    <row r="474" spans="2:75">
      <c r="B474" s="230"/>
      <c r="C474" s="230"/>
      <c r="D474" s="230"/>
      <c r="E474" s="230"/>
      <c r="F474" s="230"/>
      <c r="G474" s="230"/>
      <c r="H474" s="230"/>
      <c r="I474" s="230"/>
      <c r="J474" s="230"/>
      <c r="K474" s="230"/>
      <c r="L474" s="230"/>
      <c r="M474" s="230"/>
      <c r="N474" s="315"/>
      <c r="O474" s="315"/>
      <c r="P474" s="315"/>
      <c r="Q474" s="315"/>
      <c r="R474" s="315"/>
      <c r="S474" s="315"/>
      <c r="T474" s="315"/>
      <c r="U474" s="315"/>
      <c r="V474" s="315"/>
      <c r="W474" s="315"/>
      <c r="X474" s="315"/>
      <c r="Y474" s="315"/>
      <c r="Z474" s="315"/>
      <c r="AA474" s="315"/>
      <c r="AB474" s="315"/>
      <c r="AC474" s="315"/>
      <c r="AD474" s="315"/>
      <c r="AE474" s="315"/>
      <c r="AF474" s="315"/>
      <c r="AG474" s="315"/>
      <c r="AH474" s="315"/>
      <c r="AI474" s="315"/>
      <c r="AJ474" s="315"/>
      <c r="AK474" s="315"/>
      <c r="AL474" s="315"/>
      <c r="AM474" s="315"/>
      <c r="AN474" s="315"/>
      <c r="AO474" s="315"/>
      <c r="AP474" s="315"/>
      <c r="AQ474" s="320"/>
      <c r="AR474" s="319"/>
      <c r="AS474" s="319"/>
      <c r="AT474" s="319"/>
      <c r="AU474" s="319"/>
      <c r="AV474" s="319"/>
      <c r="AW474" s="319"/>
      <c r="AX474" s="319"/>
      <c r="AY474" s="319"/>
      <c r="AZ474" s="319"/>
      <c r="BA474" s="319"/>
      <c r="BB474" s="319"/>
      <c r="BC474" s="319"/>
      <c r="BD474" s="319"/>
      <c r="BE474" s="319"/>
      <c r="BF474" s="319"/>
      <c r="BG474" s="319"/>
      <c r="BH474" s="319"/>
      <c r="BI474" s="261"/>
      <c r="BJ474" s="261"/>
      <c r="BK474" s="261"/>
      <c r="BL474" s="261"/>
      <c r="BM474" s="261"/>
      <c r="BN474" s="261"/>
      <c r="BO474" s="261"/>
      <c r="BP474" s="261"/>
      <c r="BQ474" s="261"/>
      <c r="BR474" s="261"/>
      <c r="BS474" s="261"/>
      <c r="BT474" s="261"/>
      <c r="BU474" s="261"/>
      <c r="BV474" s="261"/>
      <c r="BW474" s="261"/>
    </row>
    <row r="475" spans="2:75">
      <c r="B475" s="230"/>
      <c r="C475" s="230"/>
      <c r="D475" s="230"/>
      <c r="E475" s="230"/>
      <c r="F475" s="230"/>
      <c r="G475" s="230"/>
      <c r="H475" s="230"/>
      <c r="I475" s="230"/>
      <c r="J475" s="230"/>
      <c r="K475" s="230"/>
      <c r="L475" s="230"/>
      <c r="M475" s="230"/>
      <c r="N475" s="315"/>
      <c r="O475" s="315"/>
      <c r="P475" s="315"/>
      <c r="Q475" s="315"/>
      <c r="R475" s="315"/>
      <c r="S475" s="315"/>
      <c r="T475" s="315"/>
      <c r="U475" s="315"/>
      <c r="V475" s="315"/>
      <c r="W475" s="315"/>
      <c r="X475" s="315"/>
      <c r="Y475" s="315"/>
      <c r="Z475" s="315"/>
      <c r="AA475" s="315"/>
      <c r="AB475" s="315"/>
      <c r="AC475" s="315"/>
      <c r="AD475" s="315"/>
      <c r="AE475" s="315"/>
      <c r="AF475" s="315"/>
      <c r="AG475" s="315"/>
      <c r="AH475" s="315"/>
      <c r="AI475" s="315"/>
      <c r="AJ475" s="315"/>
      <c r="AK475" s="315"/>
      <c r="AL475" s="315"/>
      <c r="AM475" s="315"/>
      <c r="AN475" s="315"/>
      <c r="AO475" s="315"/>
      <c r="AP475" s="315"/>
      <c r="AQ475" s="320"/>
      <c r="AR475" s="319"/>
      <c r="AS475" s="319"/>
      <c r="AT475" s="319"/>
      <c r="AU475" s="319"/>
      <c r="AV475" s="319"/>
      <c r="AW475" s="319"/>
      <c r="AX475" s="319"/>
      <c r="AY475" s="319"/>
      <c r="AZ475" s="319"/>
      <c r="BA475" s="319"/>
      <c r="BB475" s="319"/>
      <c r="BC475" s="319"/>
      <c r="BD475" s="319"/>
      <c r="BE475" s="319"/>
      <c r="BF475" s="319"/>
      <c r="BG475" s="319"/>
      <c r="BH475" s="319"/>
      <c r="BI475" s="261"/>
      <c r="BJ475" s="261"/>
      <c r="BK475" s="261"/>
      <c r="BL475" s="261"/>
      <c r="BM475" s="261"/>
      <c r="BN475" s="261"/>
      <c r="BO475" s="261"/>
      <c r="BP475" s="261"/>
      <c r="BQ475" s="261"/>
      <c r="BR475" s="261"/>
      <c r="BS475" s="261"/>
      <c r="BT475" s="261"/>
      <c r="BU475" s="261"/>
      <c r="BV475" s="261"/>
      <c r="BW475" s="261"/>
    </row>
    <row r="476" spans="2:75">
      <c r="B476" s="230"/>
      <c r="C476" s="230"/>
      <c r="D476" s="230"/>
      <c r="E476" s="230"/>
      <c r="F476" s="230"/>
      <c r="G476" s="230"/>
      <c r="H476" s="230"/>
      <c r="I476" s="230"/>
      <c r="J476" s="230"/>
      <c r="K476" s="230"/>
      <c r="L476" s="230"/>
      <c r="M476" s="230"/>
      <c r="N476" s="315"/>
      <c r="O476" s="315"/>
      <c r="P476" s="315"/>
      <c r="Q476" s="315"/>
      <c r="R476" s="315"/>
      <c r="S476" s="315"/>
      <c r="T476" s="315"/>
      <c r="U476" s="315"/>
      <c r="V476" s="315"/>
      <c r="W476" s="315"/>
      <c r="X476" s="315"/>
      <c r="Y476" s="315"/>
      <c r="Z476" s="315"/>
      <c r="AA476" s="315"/>
      <c r="AB476" s="315"/>
      <c r="AC476" s="315"/>
      <c r="AD476" s="315"/>
      <c r="AE476" s="315"/>
      <c r="AF476" s="315"/>
      <c r="AG476" s="315"/>
      <c r="AH476" s="315"/>
      <c r="AI476" s="315"/>
      <c r="AJ476" s="315"/>
      <c r="AK476" s="315"/>
      <c r="AL476" s="315"/>
      <c r="AM476" s="315"/>
      <c r="AN476" s="315"/>
      <c r="AO476" s="315"/>
      <c r="AP476" s="315"/>
      <c r="AQ476" s="320"/>
      <c r="AR476" s="319"/>
      <c r="AS476" s="319"/>
      <c r="AT476" s="319"/>
      <c r="AU476" s="319"/>
      <c r="AV476" s="319"/>
      <c r="AW476" s="319"/>
      <c r="AX476" s="319"/>
      <c r="AY476" s="319"/>
      <c r="AZ476" s="319"/>
      <c r="BA476" s="319"/>
      <c r="BB476" s="319"/>
      <c r="BC476" s="319"/>
      <c r="BD476" s="319"/>
      <c r="BE476" s="319"/>
      <c r="BF476" s="319"/>
      <c r="BG476" s="319"/>
      <c r="BH476" s="319"/>
      <c r="BI476" s="261"/>
      <c r="BJ476" s="261"/>
      <c r="BK476" s="261"/>
      <c r="BL476" s="261"/>
      <c r="BM476" s="261"/>
      <c r="BN476" s="261"/>
      <c r="BO476" s="261"/>
      <c r="BP476" s="261"/>
      <c r="BQ476" s="261"/>
      <c r="BR476" s="261"/>
      <c r="BS476" s="261"/>
      <c r="BT476" s="261"/>
      <c r="BU476" s="261"/>
      <c r="BV476" s="261"/>
      <c r="BW476" s="261"/>
    </row>
    <row r="477" spans="2:75">
      <c r="B477" s="230"/>
      <c r="C477" s="230"/>
      <c r="D477" s="230"/>
      <c r="E477" s="230"/>
      <c r="F477" s="230"/>
      <c r="G477" s="230"/>
      <c r="H477" s="230"/>
      <c r="I477" s="230"/>
      <c r="J477" s="230"/>
      <c r="K477" s="230"/>
      <c r="L477" s="230"/>
      <c r="M477" s="230"/>
      <c r="N477" s="315"/>
      <c r="O477" s="315"/>
      <c r="P477" s="315"/>
      <c r="Q477" s="315"/>
      <c r="R477" s="315"/>
      <c r="S477" s="315"/>
      <c r="T477" s="315"/>
      <c r="U477" s="315"/>
      <c r="V477" s="315"/>
      <c r="W477" s="315"/>
      <c r="X477" s="315"/>
      <c r="Y477" s="315"/>
      <c r="Z477" s="315"/>
      <c r="AA477" s="315"/>
      <c r="AB477" s="315"/>
      <c r="AC477" s="315"/>
      <c r="AD477" s="315"/>
      <c r="AE477" s="315"/>
      <c r="AF477" s="315"/>
      <c r="AG477" s="315"/>
      <c r="AH477" s="315"/>
      <c r="AI477" s="315"/>
      <c r="AJ477" s="315"/>
      <c r="AK477" s="315"/>
      <c r="AL477" s="315"/>
      <c r="AM477" s="315"/>
      <c r="AN477" s="315"/>
      <c r="AO477" s="315"/>
      <c r="AP477" s="315"/>
      <c r="AQ477" s="320"/>
      <c r="AR477" s="319"/>
      <c r="AS477" s="319"/>
      <c r="AT477" s="319"/>
      <c r="AU477" s="319"/>
      <c r="AV477" s="319"/>
      <c r="AW477" s="319"/>
      <c r="AX477" s="319"/>
      <c r="AY477" s="319"/>
      <c r="AZ477" s="319"/>
      <c r="BA477" s="319"/>
      <c r="BB477" s="319"/>
      <c r="BC477" s="319"/>
      <c r="BD477" s="319"/>
      <c r="BE477" s="319"/>
      <c r="BF477" s="319"/>
      <c r="BG477" s="319"/>
      <c r="BH477" s="319"/>
      <c r="BI477" s="261"/>
      <c r="BJ477" s="261"/>
      <c r="BK477" s="261"/>
      <c r="BL477" s="261"/>
      <c r="BM477" s="261"/>
      <c r="BN477" s="261"/>
      <c r="BO477" s="261"/>
      <c r="BP477" s="261"/>
      <c r="BQ477" s="261"/>
      <c r="BR477" s="261"/>
      <c r="BS477" s="261"/>
      <c r="BT477" s="261"/>
      <c r="BU477" s="261"/>
      <c r="BV477" s="261"/>
      <c r="BW477" s="261"/>
    </row>
    <row r="478" spans="2:75">
      <c r="B478" s="230"/>
      <c r="C478" s="230"/>
      <c r="D478" s="230"/>
      <c r="E478" s="230"/>
      <c r="F478" s="230"/>
      <c r="G478" s="230"/>
      <c r="H478" s="230"/>
      <c r="I478" s="230"/>
      <c r="J478" s="230"/>
      <c r="K478" s="230"/>
      <c r="L478" s="230"/>
      <c r="M478" s="230"/>
      <c r="N478" s="315"/>
      <c r="O478" s="315"/>
      <c r="P478" s="315"/>
      <c r="Q478" s="315"/>
      <c r="R478" s="315"/>
      <c r="S478" s="315"/>
      <c r="T478" s="315"/>
      <c r="U478" s="315"/>
      <c r="V478" s="315"/>
      <c r="W478" s="315"/>
      <c r="X478" s="315"/>
      <c r="Y478" s="315"/>
      <c r="Z478" s="315"/>
      <c r="AA478" s="315"/>
      <c r="AB478" s="315"/>
      <c r="AC478" s="315"/>
      <c r="AD478" s="315"/>
      <c r="AE478" s="315"/>
      <c r="AF478" s="315"/>
      <c r="AG478" s="315"/>
      <c r="AH478" s="315"/>
      <c r="AI478" s="315"/>
      <c r="AJ478" s="315"/>
      <c r="AK478" s="315"/>
      <c r="AL478" s="315"/>
      <c r="AM478" s="315"/>
      <c r="AN478" s="315"/>
      <c r="AO478" s="315"/>
      <c r="AP478" s="315"/>
      <c r="AQ478" s="320"/>
      <c r="AR478" s="319"/>
      <c r="AS478" s="319"/>
      <c r="AT478" s="319"/>
      <c r="AU478" s="319"/>
      <c r="AV478" s="319"/>
      <c r="AW478" s="319"/>
      <c r="AX478" s="319"/>
      <c r="AY478" s="319"/>
      <c r="AZ478" s="319"/>
      <c r="BA478" s="319"/>
      <c r="BB478" s="319"/>
      <c r="BC478" s="319"/>
      <c r="BD478" s="319"/>
      <c r="BE478" s="319"/>
      <c r="BF478" s="319"/>
      <c r="BG478" s="319"/>
      <c r="BH478" s="319"/>
      <c r="BI478" s="261"/>
      <c r="BJ478" s="261"/>
      <c r="BK478" s="261"/>
      <c r="BL478" s="261"/>
      <c r="BM478" s="261"/>
      <c r="BN478" s="261"/>
      <c r="BO478" s="261"/>
      <c r="BP478" s="261"/>
      <c r="BQ478" s="261"/>
      <c r="BR478" s="261"/>
      <c r="BS478" s="261"/>
      <c r="BT478" s="261"/>
      <c r="BU478" s="261"/>
      <c r="BV478" s="261"/>
      <c r="BW478" s="261"/>
    </row>
    <row r="479" spans="2:75">
      <c r="B479" s="230"/>
      <c r="C479" s="230"/>
      <c r="D479" s="230"/>
      <c r="E479" s="230"/>
      <c r="F479" s="230"/>
      <c r="G479" s="230"/>
      <c r="H479" s="230"/>
      <c r="I479" s="230"/>
      <c r="J479" s="230"/>
      <c r="K479" s="230"/>
      <c r="L479" s="230"/>
      <c r="M479" s="230"/>
      <c r="N479" s="315"/>
      <c r="O479" s="315"/>
      <c r="P479" s="315"/>
      <c r="Q479" s="315"/>
      <c r="R479" s="315"/>
      <c r="S479" s="315"/>
      <c r="T479" s="315"/>
      <c r="U479" s="315"/>
      <c r="V479" s="315"/>
      <c r="W479" s="315"/>
      <c r="X479" s="315"/>
      <c r="Y479" s="315"/>
      <c r="Z479" s="315"/>
      <c r="AA479" s="315"/>
      <c r="AB479" s="315"/>
      <c r="AC479" s="315"/>
      <c r="AD479" s="315"/>
      <c r="AE479" s="315"/>
      <c r="AF479" s="315"/>
      <c r="AG479" s="315"/>
      <c r="AH479" s="315"/>
      <c r="AI479" s="315"/>
      <c r="AJ479" s="315"/>
      <c r="AK479" s="315"/>
      <c r="AL479" s="315"/>
      <c r="AM479" s="315"/>
      <c r="AN479" s="315"/>
      <c r="AO479" s="315"/>
      <c r="AP479" s="315"/>
      <c r="AQ479" s="320"/>
      <c r="AR479" s="319"/>
      <c r="AS479" s="319"/>
      <c r="AT479" s="319"/>
      <c r="AU479" s="319"/>
      <c r="AV479" s="319"/>
      <c r="AW479" s="319"/>
      <c r="AX479" s="319"/>
      <c r="AY479" s="319"/>
      <c r="AZ479" s="319"/>
      <c r="BA479" s="319"/>
      <c r="BB479" s="319"/>
      <c r="BC479" s="319"/>
      <c r="BD479" s="319"/>
      <c r="BE479" s="319"/>
      <c r="BF479" s="319"/>
      <c r="BG479" s="319"/>
      <c r="BH479" s="319"/>
      <c r="BI479" s="261"/>
      <c r="BJ479" s="261"/>
      <c r="BK479" s="261"/>
      <c r="BL479" s="261"/>
      <c r="BM479" s="261"/>
      <c r="BN479" s="261"/>
      <c r="BO479" s="261"/>
      <c r="BP479" s="261"/>
      <c r="BQ479" s="261"/>
      <c r="BR479" s="261"/>
      <c r="BS479" s="261"/>
      <c r="BT479" s="261"/>
      <c r="BU479" s="261"/>
      <c r="BV479" s="261"/>
      <c r="BW479" s="261"/>
    </row>
    <row r="480" spans="2:75">
      <c r="B480" s="230"/>
      <c r="C480" s="230"/>
      <c r="D480" s="230"/>
      <c r="E480" s="230"/>
      <c r="F480" s="230"/>
      <c r="G480" s="230"/>
      <c r="H480" s="230"/>
      <c r="I480" s="230"/>
      <c r="J480" s="230"/>
      <c r="K480" s="230"/>
      <c r="L480" s="230"/>
      <c r="M480" s="230"/>
      <c r="N480" s="315"/>
      <c r="O480" s="315"/>
      <c r="P480" s="315"/>
      <c r="Q480" s="315"/>
      <c r="R480" s="315"/>
      <c r="S480" s="315"/>
      <c r="T480" s="315"/>
      <c r="U480" s="315"/>
      <c r="V480" s="315"/>
      <c r="W480" s="315"/>
      <c r="X480" s="315"/>
      <c r="Y480" s="315"/>
      <c r="Z480" s="315"/>
      <c r="AA480" s="315"/>
      <c r="AB480" s="315"/>
      <c r="AC480" s="315"/>
      <c r="AD480" s="315"/>
      <c r="AE480" s="315"/>
      <c r="AF480" s="315"/>
      <c r="AG480" s="315"/>
      <c r="AH480" s="315"/>
      <c r="AI480" s="315"/>
      <c r="AJ480" s="315"/>
      <c r="AK480" s="315"/>
      <c r="AL480" s="315"/>
      <c r="AM480" s="315"/>
      <c r="AN480" s="315"/>
      <c r="AO480" s="315"/>
      <c r="AP480" s="315"/>
      <c r="AQ480" s="320"/>
      <c r="AR480" s="319"/>
      <c r="AS480" s="319"/>
      <c r="AT480" s="319"/>
      <c r="AU480" s="319"/>
      <c r="AV480" s="319"/>
      <c r="AW480" s="319"/>
      <c r="AX480" s="319"/>
      <c r="AY480" s="319"/>
      <c r="AZ480" s="319"/>
      <c r="BA480" s="319"/>
      <c r="BB480" s="319"/>
      <c r="BC480" s="319"/>
      <c r="BD480" s="319"/>
      <c r="BE480" s="319"/>
      <c r="BF480" s="319"/>
      <c r="BG480" s="319"/>
      <c r="BH480" s="319"/>
      <c r="BI480" s="261"/>
      <c r="BJ480" s="261"/>
      <c r="BK480" s="261"/>
      <c r="BL480" s="261"/>
      <c r="BM480" s="261"/>
      <c r="BN480" s="261"/>
      <c r="BO480" s="261"/>
      <c r="BP480" s="261"/>
      <c r="BQ480" s="261"/>
      <c r="BR480" s="261"/>
      <c r="BS480" s="261"/>
      <c r="BT480" s="261"/>
      <c r="BU480" s="261"/>
      <c r="BV480" s="261"/>
      <c r="BW480" s="261"/>
    </row>
    <row r="481" spans="2:75">
      <c r="B481" s="230"/>
      <c r="C481" s="230"/>
      <c r="D481" s="230"/>
      <c r="E481" s="230"/>
      <c r="F481" s="230"/>
      <c r="G481" s="230"/>
      <c r="H481" s="230"/>
      <c r="I481" s="230"/>
      <c r="J481" s="230"/>
      <c r="K481" s="230"/>
      <c r="L481" s="230"/>
      <c r="M481" s="230"/>
      <c r="N481" s="315"/>
      <c r="O481" s="315"/>
      <c r="P481" s="315"/>
      <c r="Q481" s="315"/>
      <c r="R481" s="315"/>
      <c r="S481" s="315"/>
      <c r="T481" s="315"/>
      <c r="U481" s="315"/>
      <c r="V481" s="315"/>
      <c r="W481" s="315"/>
      <c r="X481" s="315"/>
      <c r="Y481" s="315"/>
      <c r="Z481" s="315"/>
      <c r="AA481" s="315"/>
      <c r="AB481" s="315"/>
      <c r="AC481" s="315"/>
      <c r="AD481" s="315"/>
      <c r="AE481" s="315"/>
      <c r="AF481" s="315"/>
      <c r="AG481" s="315"/>
      <c r="AH481" s="315"/>
      <c r="AI481" s="315"/>
      <c r="AJ481" s="315"/>
      <c r="AK481" s="315"/>
      <c r="AL481" s="315"/>
      <c r="AM481" s="315"/>
      <c r="AN481" s="315"/>
      <c r="AO481" s="315"/>
      <c r="AP481" s="315"/>
      <c r="AQ481" s="320"/>
      <c r="AR481" s="319"/>
      <c r="AS481" s="319"/>
      <c r="AT481" s="319"/>
      <c r="AU481" s="319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19"/>
      <c r="BI481" s="261"/>
      <c r="BJ481" s="261"/>
      <c r="BK481" s="261"/>
      <c r="BL481" s="261"/>
      <c r="BM481" s="261"/>
      <c r="BN481" s="261"/>
      <c r="BO481" s="261"/>
      <c r="BP481" s="261"/>
      <c r="BQ481" s="261"/>
      <c r="BR481" s="261"/>
      <c r="BS481" s="261"/>
      <c r="BT481" s="261"/>
      <c r="BU481" s="261"/>
      <c r="BV481" s="261"/>
      <c r="BW481" s="261"/>
    </row>
    <row r="482" spans="2:75">
      <c r="B482" s="230"/>
      <c r="C482" s="230"/>
      <c r="D482" s="230"/>
      <c r="E482" s="230"/>
      <c r="F482" s="230"/>
      <c r="G482" s="230"/>
      <c r="H482" s="230"/>
      <c r="I482" s="230"/>
      <c r="J482" s="230"/>
      <c r="K482" s="230"/>
      <c r="L482" s="230"/>
      <c r="M482" s="230"/>
      <c r="N482" s="315"/>
      <c r="O482" s="315"/>
      <c r="P482" s="315"/>
      <c r="Q482" s="315"/>
      <c r="R482" s="315"/>
      <c r="S482" s="315"/>
      <c r="T482" s="315"/>
      <c r="U482" s="315"/>
      <c r="V482" s="315"/>
      <c r="W482" s="315"/>
      <c r="X482" s="315"/>
      <c r="Y482" s="315"/>
      <c r="Z482" s="315"/>
      <c r="AA482" s="315"/>
      <c r="AB482" s="315"/>
      <c r="AC482" s="315"/>
      <c r="AD482" s="315"/>
      <c r="AE482" s="315"/>
      <c r="AF482" s="315"/>
      <c r="AG482" s="315"/>
      <c r="AH482" s="315"/>
      <c r="AI482" s="315"/>
      <c r="AJ482" s="315"/>
      <c r="AK482" s="315"/>
      <c r="AL482" s="315"/>
      <c r="AM482" s="315"/>
      <c r="AN482" s="315"/>
      <c r="AO482" s="315"/>
      <c r="AP482" s="315"/>
      <c r="AQ482" s="320"/>
      <c r="AR482" s="319"/>
      <c r="AS482" s="319"/>
      <c r="AT482" s="319"/>
      <c r="AU482" s="319"/>
      <c r="AV482" s="319"/>
      <c r="AW482" s="319"/>
      <c r="AX482" s="319"/>
      <c r="AY482" s="319"/>
      <c r="AZ482" s="319"/>
      <c r="BA482" s="319"/>
      <c r="BB482" s="319"/>
      <c r="BC482" s="319"/>
      <c r="BD482" s="319"/>
      <c r="BE482" s="319"/>
      <c r="BF482" s="319"/>
      <c r="BG482" s="319"/>
      <c r="BH482" s="319"/>
      <c r="BI482" s="261"/>
      <c r="BJ482" s="261"/>
      <c r="BK482" s="261"/>
      <c r="BL482" s="261"/>
      <c r="BM482" s="261"/>
      <c r="BN482" s="261"/>
      <c r="BO482" s="261"/>
      <c r="BP482" s="261"/>
      <c r="BQ482" s="261"/>
      <c r="BR482" s="261"/>
      <c r="BS482" s="261"/>
      <c r="BT482" s="261"/>
      <c r="BU482" s="261"/>
      <c r="BV482" s="261"/>
      <c r="BW482" s="261"/>
    </row>
    <row r="483" spans="2:75">
      <c r="B483" s="230"/>
      <c r="C483" s="230"/>
      <c r="D483" s="230"/>
      <c r="E483" s="230"/>
      <c r="F483" s="230"/>
      <c r="G483" s="230"/>
      <c r="H483" s="230"/>
      <c r="I483" s="230"/>
      <c r="J483" s="230"/>
      <c r="K483" s="230"/>
      <c r="L483" s="230"/>
      <c r="M483" s="230"/>
      <c r="N483" s="315"/>
      <c r="O483" s="315"/>
      <c r="P483" s="315"/>
      <c r="Q483" s="315"/>
      <c r="R483" s="315"/>
      <c r="S483" s="315"/>
      <c r="T483" s="315"/>
      <c r="U483" s="315"/>
      <c r="V483" s="315"/>
      <c r="W483" s="315"/>
      <c r="X483" s="315"/>
      <c r="Y483" s="315"/>
      <c r="Z483" s="315"/>
      <c r="AA483" s="315"/>
      <c r="AB483" s="315"/>
      <c r="AC483" s="315"/>
      <c r="AD483" s="315"/>
      <c r="AE483" s="315"/>
      <c r="AF483" s="315"/>
      <c r="AG483" s="315"/>
      <c r="AH483" s="315"/>
      <c r="AI483" s="315"/>
      <c r="AJ483" s="315"/>
      <c r="AK483" s="315"/>
      <c r="AL483" s="315"/>
      <c r="AM483" s="315"/>
      <c r="AN483" s="315"/>
      <c r="AO483" s="315"/>
      <c r="AP483" s="315"/>
      <c r="AQ483" s="320"/>
      <c r="AR483" s="319"/>
      <c r="AS483" s="319"/>
      <c r="AT483" s="319"/>
      <c r="AU483" s="319"/>
      <c r="AV483" s="319"/>
      <c r="AW483" s="319"/>
      <c r="AX483" s="319"/>
      <c r="AY483" s="319"/>
      <c r="AZ483" s="319"/>
      <c r="BA483" s="319"/>
      <c r="BB483" s="319"/>
      <c r="BC483" s="319"/>
      <c r="BD483" s="319"/>
      <c r="BE483" s="319"/>
      <c r="BF483" s="319"/>
      <c r="BG483" s="319"/>
      <c r="BH483" s="319"/>
      <c r="BI483" s="261"/>
      <c r="BJ483" s="261"/>
      <c r="BK483" s="261"/>
      <c r="BL483" s="261"/>
      <c r="BM483" s="261"/>
      <c r="BN483" s="261"/>
      <c r="BO483" s="261"/>
      <c r="BP483" s="261"/>
      <c r="BQ483" s="261"/>
      <c r="BR483" s="261"/>
      <c r="BS483" s="261"/>
      <c r="BT483" s="261"/>
      <c r="BU483" s="261"/>
      <c r="BV483" s="261"/>
      <c r="BW483" s="261"/>
    </row>
    <row r="484" spans="2:75">
      <c r="B484" s="230"/>
      <c r="C484" s="230"/>
      <c r="D484" s="230"/>
      <c r="E484" s="230"/>
      <c r="F484" s="230"/>
      <c r="G484" s="230"/>
      <c r="H484" s="230"/>
      <c r="I484" s="230"/>
      <c r="J484" s="230"/>
      <c r="K484" s="230"/>
      <c r="L484" s="230"/>
      <c r="M484" s="230"/>
      <c r="N484" s="315"/>
      <c r="O484" s="315"/>
      <c r="P484" s="315"/>
      <c r="Q484" s="315"/>
      <c r="R484" s="315"/>
      <c r="S484" s="315"/>
      <c r="T484" s="315"/>
      <c r="U484" s="315"/>
      <c r="V484" s="315"/>
      <c r="W484" s="315"/>
      <c r="X484" s="315"/>
      <c r="Y484" s="315"/>
      <c r="Z484" s="315"/>
      <c r="AA484" s="315"/>
      <c r="AB484" s="315"/>
      <c r="AC484" s="315"/>
      <c r="AD484" s="315"/>
      <c r="AE484" s="315"/>
      <c r="AF484" s="315"/>
      <c r="AG484" s="315"/>
      <c r="AH484" s="315"/>
      <c r="AI484" s="315"/>
      <c r="AJ484" s="315"/>
      <c r="AK484" s="315"/>
      <c r="AL484" s="315"/>
      <c r="AM484" s="315"/>
      <c r="AN484" s="315"/>
      <c r="AO484" s="315"/>
      <c r="AP484" s="315"/>
      <c r="AQ484" s="320"/>
      <c r="AR484" s="319"/>
      <c r="AS484" s="319"/>
      <c r="AT484" s="319"/>
      <c r="AU484" s="319"/>
      <c r="AV484" s="319"/>
      <c r="AW484" s="319"/>
      <c r="AX484" s="319"/>
      <c r="AY484" s="319"/>
      <c r="AZ484" s="319"/>
      <c r="BA484" s="319"/>
      <c r="BB484" s="319"/>
      <c r="BC484" s="319"/>
      <c r="BD484" s="319"/>
      <c r="BE484" s="319"/>
      <c r="BF484" s="319"/>
      <c r="BG484" s="319"/>
      <c r="BH484" s="319"/>
      <c r="BI484" s="261"/>
      <c r="BJ484" s="261"/>
      <c r="BK484" s="261"/>
      <c r="BL484" s="261"/>
      <c r="BM484" s="261"/>
      <c r="BN484" s="261"/>
      <c r="BO484" s="261"/>
      <c r="BP484" s="261"/>
      <c r="BQ484" s="261"/>
      <c r="BR484" s="261"/>
      <c r="BS484" s="261"/>
      <c r="BT484" s="261"/>
      <c r="BU484" s="261"/>
      <c r="BV484" s="261"/>
      <c r="BW484" s="261"/>
    </row>
    <row r="485" spans="2:75">
      <c r="B485" s="230"/>
      <c r="C485" s="230"/>
      <c r="D485" s="230"/>
      <c r="E485" s="230"/>
      <c r="F485" s="230"/>
      <c r="G485" s="230"/>
      <c r="H485" s="230"/>
      <c r="I485" s="230"/>
      <c r="J485" s="230"/>
      <c r="K485" s="230"/>
      <c r="L485" s="230"/>
      <c r="M485" s="230"/>
      <c r="N485" s="315"/>
      <c r="O485" s="315"/>
      <c r="P485" s="315"/>
      <c r="Q485" s="315"/>
      <c r="R485" s="315"/>
      <c r="S485" s="315"/>
      <c r="T485" s="315"/>
      <c r="U485" s="315"/>
      <c r="V485" s="315"/>
      <c r="W485" s="315"/>
      <c r="X485" s="315"/>
      <c r="Y485" s="315"/>
      <c r="Z485" s="315"/>
      <c r="AA485" s="315"/>
      <c r="AB485" s="315"/>
      <c r="AC485" s="315"/>
      <c r="AD485" s="315"/>
      <c r="AE485" s="315"/>
      <c r="AF485" s="315"/>
      <c r="AG485" s="315"/>
      <c r="AH485" s="315"/>
      <c r="AI485" s="315"/>
      <c r="AJ485" s="315"/>
      <c r="AK485" s="315"/>
      <c r="AL485" s="315"/>
      <c r="AM485" s="315"/>
      <c r="AN485" s="315"/>
      <c r="AO485" s="315"/>
      <c r="AP485" s="315"/>
      <c r="AQ485" s="320"/>
      <c r="AR485" s="319"/>
      <c r="AS485" s="319"/>
      <c r="AT485" s="319"/>
      <c r="AU485" s="319"/>
      <c r="AV485" s="319"/>
      <c r="AW485" s="319"/>
      <c r="AX485" s="319"/>
      <c r="AY485" s="319"/>
      <c r="AZ485" s="319"/>
      <c r="BA485" s="319"/>
      <c r="BB485" s="319"/>
      <c r="BC485" s="319"/>
      <c r="BD485" s="319"/>
      <c r="BE485" s="319"/>
      <c r="BF485" s="319"/>
      <c r="BG485" s="319"/>
      <c r="BH485" s="319"/>
      <c r="BI485" s="261"/>
      <c r="BJ485" s="261"/>
      <c r="BK485" s="261"/>
      <c r="BL485" s="261"/>
      <c r="BM485" s="261"/>
      <c r="BN485" s="261"/>
      <c r="BO485" s="261"/>
      <c r="BP485" s="261"/>
      <c r="BQ485" s="261"/>
      <c r="BR485" s="261"/>
      <c r="BS485" s="261"/>
      <c r="BT485" s="261"/>
      <c r="BU485" s="261"/>
      <c r="BV485" s="261"/>
      <c r="BW485" s="261"/>
    </row>
    <row r="486" spans="2:75">
      <c r="B486" s="230"/>
      <c r="C486" s="230"/>
      <c r="D486" s="230"/>
      <c r="E486" s="230"/>
      <c r="F486" s="230"/>
      <c r="G486" s="230"/>
      <c r="H486" s="230"/>
      <c r="I486" s="230"/>
      <c r="J486" s="230"/>
      <c r="K486" s="230"/>
      <c r="L486" s="230"/>
      <c r="M486" s="230"/>
      <c r="N486" s="315"/>
      <c r="O486" s="315"/>
      <c r="P486" s="315"/>
      <c r="Q486" s="315"/>
      <c r="R486" s="315"/>
      <c r="S486" s="315"/>
      <c r="T486" s="315"/>
      <c r="U486" s="315"/>
      <c r="V486" s="315"/>
      <c r="W486" s="315"/>
      <c r="X486" s="315"/>
      <c r="Y486" s="315"/>
      <c r="Z486" s="315"/>
      <c r="AA486" s="315"/>
      <c r="AB486" s="315"/>
      <c r="AC486" s="315"/>
      <c r="AD486" s="315"/>
      <c r="AE486" s="315"/>
      <c r="AF486" s="315"/>
      <c r="AG486" s="315"/>
      <c r="AH486" s="315"/>
      <c r="AI486" s="315"/>
      <c r="AJ486" s="315"/>
      <c r="AK486" s="315"/>
      <c r="AL486" s="315"/>
      <c r="AM486" s="315"/>
      <c r="AN486" s="315"/>
      <c r="AO486" s="315"/>
      <c r="AP486" s="315"/>
      <c r="AQ486" s="320"/>
      <c r="AR486" s="319"/>
      <c r="AS486" s="319"/>
      <c r="AT486" s="319"/>
      <c r="AU486" s="319"/>
      <c r="AV486" s="319"/>
      <c r="AW486" s="319"/>
      <c r="AX486" s="319"/>
      <c r="AY486" s="319"/>
      <c r="AZ486" s="319"/>
      <c r="BA486" s="319"/>
      <c r="BB486" s="319"/>
      <c r="BC486" s="319"/>
      <c r="BD486" s="319"/>
      <c r="BE486" s="319"/>
      <c r="BF486" s="319"/>
      <c r="BG486" s="319"/>
      <c r="BH486" s="319"/>
      <c r="BI486" s="261"/>
      <c r="BJ486" s="261"/>
      <c r="BK486" s="261"/>
      <c r="BL486" s="261"/>
      <c r="BM486" s="261"/>
      <c r="BN486" s="261"/>
      <c r="BO486" s="261"/>
      <c r="BP486" s="261"/>
      <c r="BQ486" s="261"/>
      <c r="BR486" s="261"/>
      <c r="BS486" s="261"/>
      <c r="BT486" s="261"/>
      <c r="BU486" s="261"/>
      <c r="BV486" s="261"/>
      <c r="BW486" s="261"/>
    </row>
    <row r="487" spans="2:75">
      <c r="B487" s="230"/>
      <c r="C487" s="230"/>
      <c r="D487" s="230"/>
      <c r="E487" s="230"/>
      <c r="F487" s="230"/>
      <c r="G487" s="230"/>
      <c r="H487" s="230"/>
      <c r="I487" s="230"/>
      <c r="J487" s="230"/>
      <c r="K487" s="230"/>
      <c r="L487" s="230"/>
      <c r="M487" s="230"/>
      <c r="N487" s="315"/>
      <c r="O487" s="315"/>
      <c r="P487" s="315"/>
      <c r="Q487" s="315"/>
      <c r="R487" s="315"/>
      <c r="S487" s="315"/>
      <c r="T487" s="315"/>
      <c r="U487" s="315"/>
      <c r="V487" s="315"/>
      <c r="W487" s="315"/>
      <c r="X487" s="315"/>
      <c r="Y487" s="315"/>
      <c r="Z487" s="315"/>
      <c r="AA487" s="315"/>
      <c r="AB487" s="315"/>
      <c r="AC487" s="315"/>
      <c r="AD487" s="315"/>
      <c r="AE487" s="315"/>
      <c r="AF487" s="315"/>
      <c r="AG487" s="315"/>
      <c r="AH487" s="315"/>
      <c r="AI487" s="315"/>
      <c r="AJ487" s="315"/>
      <c r="AK487" s="315"/>
      <c r="AL487" s="315"/>
      <c r="AM487" s="315"/>
      <c r="AN487" s="315"/>
      <c r="AO487" s="315"/>
      <c r="AP487" s="315"/>
      <c r="AQ487" s="320"/>
      <c r="AR487" s="319"/>
      <c r="AS487" s="319"/>
      <c r="AT487" s="319"/>
      <c r="AU487" s="319"/>
      <c r="AV487" s="319"/>
      <c r="AW487" s="319"/>
      <c r="AX487" s="319"/>
      <c r="AY487" s="319"/>
      <c r="AZ487" s="319"/>
      <c r="BA487" s="319"/>
      <c r="BB487" s="319"/>
      <c r="BC487" s="319"/>
      <c r="BD487" s="319"/>
      <c r="BE487" s="319"/>
      <c r="BF487" s="319"/>
      <c r="BG487" s="319"/>
      <c r="BH487" s="319"/>
      <c r="BI487" s="261"/>
      <c r="BJ487" s="261"/>
      <c r="BK487" s="261"/>
      <c r="BL487" s="261"/>
      <c r="BM487" s="261"/>
      <c r="BN487" s="261"/>
      <c r="BO487" s="261"/>
      <c r="BP487" s="261"/>
      <c r="BQ487" s="261"/>
      <c r="BR487" s="261"/>
      <c r="BS487" s="261"/>
      <c r="BT487" s="261"/>
      <c r="BU487" s="261"/>
      <c r="BV487" s="261"/>
      <c r="BW487" s="261"/>
    </row>
    <row r="488" spans="2:75">
      <c r="B488" s="230"/>
      <c r="C488" s="230"/>
      <c r="D488" s="230"/>
      <c r="E488" s="230"/>
      <c r="F488" s="230"/>
      <c r="G488" s="230"/>
      <c r="H488" s="230"/>
      <c r="I488" s="230"/>
      <c r="J488" s="230"/>
      <c r="K488" s="230"/>
      <c r="L488" s="230"/>
      <c r="M488" s="230"/>
      <c r="N488" s="315"/>
      <c r="O488" s="315"/>
      <c r="P488" s="315"/>
      <c r="Q488" s="315"/>
      <c r="R488" s="315"/>
      <c r="S488" s="315"/>
      <c r="T488" s="315"/>
      <c r="U488" s="315"/>
      <c r="V488" s="315"/>
      <c r="W488" s="315"/>
      <c r="X488" s="315"/>
      <c r="Y488" s="315"/>
      <c r="Z488" s="315"/>
      <c r="AA488" s="315"/>
      <c r="AB488" s="315"/>
      <c r="AC488" s="315"/>
      <c r="AD488" s="315"/>
      <c r="AE488" s="315"/>
      <c r="AF488" s="315"/>
      <c r="AG488" s="315"/>
      <c r="AH488" s="315"/>
      <c r="AI488" s="315"/>
      <c r="AJ488" s="315"/>
      <c r="AK488" s="315"/>
      <c r="AL488" s="315"/>
      <c r="AM488" s="315"/>
      <c r="AN488" s="315"/>
      <c r="AO488" s="315"/>
      <c r="AP488" s="315"/>
      <c r="AQ488" s="320"/>
      <c r="AR488" s="319"/>
      <c r="AS488" s="319"/>
      <c r="AT488" s="319"/>
      <c r="AU488" s="319"/>
      <c r="AV488" s="319"/>
      <c r="AW488" s="319"/>
      <c r="AX488" s="319"/>
      <c r="AY488" s="319"/>
      <c r="AZ488" s="319"/>
      <c r="BA488" s="319"/>
      <c r="BB488" s="319"/>
      <c r="BC488" s="319"/>
      <c r="BD488" s="319"/>
      <c r="BE488" s="319"/>
      <c r="BF488" s="319"/>
      <c r="BG488" s="319"/>
      <c r="BH488" s="319"/>
      <c r="BI488" s="261"/>
      <c r="BJ488" s="261"/>
      <c r="BK488" s="261"/>
      <c r="BL488" s="261"/>
      <c r="BM488" s="261"/>
      <c r="BN488" s="261"/>
      <c r="BO488" s="261"/>
      <c r="BP488" s="261"/>
      <c r="BQ488" s="261"/>
      <c r="BR488" s="261"/>
      <c r="BS488" s="261"/>
      <c r="BT488" s="261"/>
      <c r="BU488" s="261"/>
      <c r="BV488" s="261"/>
      <c r="BW488" s="261"/>
    </row>
    <row r="489" spans="2:75">
      <c r="B489" s="230"/>
      <c r="C489" s="230"/>
      <c r="D489" s="230"/>
      <c r="E489" s="230"/>
      <c r="F489" s="230"/>
      <c r="G489" s="230"/>
      <c r="H489" s="230"/>
      <c r="I489" s="230"/>
      <c r="J489" s="230"/>
      <c r="K489" s="230"/>
      <c r="L489" s="230"/>
      <c r="M489" s="230"/>
      <c r="N489" s="315"/>
      <c r="O489" s="315"/>
      <c r="P489" s="315"/>
      <c r="Q489" s="315"/>
      <c r="R489" s="315"/>
      <c r="S489" s="315"/>
      <c r="T489" s="315"/>
      <c r="U489" s="315"/>
      <c r="V489" s="315"/>
      <c r="W489" s="315"/>
      <c r="X489" s="315"/>
      <c r="Y489" s="315"/>
      <c r="Z489" s="315"/>
      <c r="AA489" s="315"/>
      <c r="AB489" s="315"/>
      <c r="AC489" s="315"/>
      <c r="AD489" s="315"/>
      <c r="AE489" s="315"/>
      <c r="AF489" s="315"/>
      <c r="AG489" s="315"/>
      <c r="AH489" s="315"/>
      <c r="AI489" s="315"/>
      <c r="AJ489" s="315"/>
      <c r="AK489" s="315"/>
      <c r="AL489" s="315"/>
      <c r="AM489" s="315"/>
      <c r="AN489" s="315"/>
      <c r="AO489" s="315"/>
      <c r="AP489" s="315"/>
      <c r="AQ489" s="320"/>
      <c r="AR489" s="319"/>
      <c r="AS489" s="319"/>
      <c r="AT489" s="319"/>
      <c r="AU489" s="319"/>
      <c r="AV489" s="319"/>
      <c r="AW489" s="319"/>
      <c r="AX489" s="319"/>
      <c r="AY489" s="319"/>
      <c r="AZ489" s="319"/>
      <c r="BA489" s="319"/>
      <c r="BB489" s="319"/>
      <c r="BC489" s="319"/>
      <c r="BD489" s="319"/>
      <c r="BE489" s="319"/>
      <c r="BF489" s="319"/>
      <c r="BG489" s="319"/>
      <c r="BH489" s="319"/>
      <c r="BI489" s="261"/>
      <c r="BJ489" s="261"/>
      <c r="BK489" s="261"/>
      <c r="BL489" s="261"/>
      <c r="BM489" s="261"/>
      <c r="BN489" s="261"/>
      <c r="BO489" s="261"/>
      <c r="BP489" s="261"/>
      <c r="BQ489" s="261"/>
      <c r="BR489" s="261"/>
      <c r="BS489" s="261"/>
      <c r="BT489" s="261"/>
      <c r="BU489" s="261"/>
      <c r="BV489" s="261"/>
      <c r="BW489" s="261"/>
    </row>
    <row r="490" spans="2:75">
      <c r="B490" s="230"/>
      <c r="C490" s="230"/>
      <c r="D490" s="230"/>
      <c r="E490" s="230"/>
      <c r="F490" s="230"/>
      <c r="G490" s="230"/>
      <c r="H490" s="230"/>
      <c r="I490" s="230"/>
      <c r="J490" s="230"/>
      <c r="K490" s="230"/>
      <c r="L490" s="230"/>
      <c r="M490" s="230"/>
      <c r="N490" s="315"/>
      <c r="O490" s="315"/>
      <c r="P490" s="315"/>
      <c r="Q490" s="315"/>
      <c r="R490" s="315"/>
      <c r="S490" s="315"/>
      <c r="T490" s="315"/>
      <c r="U490" s="315"/>
      <c r="V490" s="315"/>
      <c r="W490" s="315"/>
      <c r="X490" s="315"/>
      <c r="Y490" s="315"/>
      <c r="Z490" s="315"/>
      <c r="AA490" s="315"/>
      <c r="AB490" s="315"/>
      <c r="AC490" s="315"/>
      <c r="AD490" s="315"/>
      <c r="AE490" s="315"/>
      <c r="AF490" s="315"/>
      <c r="AG490" s="315"/>
      <c r="AH490" s="315"/>
      <c r="AI490" s="315"/>
      <c r="AJ490" s="315"/>
      <c r="AK490" s="315"/>
      <c r="AL490" s="315"/>
      <c r="AM490" s="315"/>
      <c r="AN490" s="315"/>
      <c r="AO490" s="315"/>
      <c r="AP490" s="315"/>
      <c r="AQ490" s="320"/>
      <c r="AR490" s="319"/>
      <c r="AS490" s="319"/>
      <c r="AT490" s="319"/>
      <c r="AU490" s="319"/>
      <c r="AV490" s="319"/>
      <c r="AW490" s="319"/>
      <c r="AX490" s="319"/>
      <c r="AY490" s="319"/>
      <c r="AZ490" s="319"/>
      <c r="BA490" s="319"/>
      <c r="BB490" s="319"/>
      <c r="BC490" s="319"/>
      <c r="BD490" s="319"/>
      <c r="BE490" s="319"/>
      <c r="BF490" s="319"/>
      <c r="BG490" s="319"/>
      <c r="BH490" s="319"/>
      <c r="BI490" s="261"/>
      <c r="BJ490" s="261"/>
      <c r="BK490" s="261"/>
      <c r="BL490" s="261"/>
      <c r="BM490" s="261"/>
      <c r="BN490" s="261"/>
      <c r="BO490" s="261"/>
      <c r="BP490" s="261"/>
      <c r="BQ490" s="261"/>
      <c r="BR490" s="261"/>
      <c r="BS490" s="261"/>
      <c r="BT490" s="261"/>
      <c r="BU490" s="261"/>
      <c r="BV490" s="261"/>
      <c r="BW490" s="261"/>
    </row>
    <row r="491" spans="2:75">
      <c r="B491" s="230"/>
      <c r="C491" s="230"/>
      <c r="D491" s="230"/>
      <c r="E491" s="230"/>
      <c r="F491" s="230"/>
      <c r="G491" s="230"/>
      <c r="H491" s="230"/>
      <c r="I491" s="230"/>
      <c r="J491" s="230"/>
      <c r="K491" s="230"/>
      <c r="L491" s="230"/>
      <c r="M491" s="230"/>
      <c r="N491" s="315"/>
      <c r="O491" s="315"/>
      <c r="P491" s="315"/>
      <c r="Q491" s="315"/>
      <c r="R491" s="315"/>
      <c r="S491" s="315"/>
      <c r="T491" s="315"/>
      <c r="U491" s="315"/>
      <c r="V491" s="315"/>
      <c r="W491" s="315"/>
      <c r="X491" s="315"/>
      <c r="Y491" s="315"/>
      <c r="Z491" s="315"/>
      <c r="AA491" s="315"/>
      <c r="AB491" s="315"/>
      <c r="AC491" s="315"/>
      <c r="AD491" s="315"/>
      <c r="AE491" s="315"/>
      <c r="AF491" s="315"/>
      <c r="AG491" s="315"/>
      <c r="AH491" s="315"/>
      <c r="AI491" s="315"/>
      <c r="AJ491" s="315"/>
      <c r="AK491" s="315"/>
      <c r="AL491" s="315"/>
      <c r="AM491" s="315"/>
      <c r="AN491" s="315"/>
      <c r="AO491" s="315"/>
      <c r="AP491" s="315"/>
      <c r="AQ491" s="320"/>
      <c r="AR491" s="319"/>
      <c r="AS491" s="319"/>
      <c r="AT491" s="319"/>
      <c r="AU491" s="319"/>
      <c r="AV491" s="319"/>
      <c r="AW491" s="319"/>
      <c r="AX491" s="319"/>
      <c r="AY491" s="319"/>
      <c r="AZ491" s="319"/>
      <c r="BA491" s="319"/>
      <c r="BB491" s="319"/>
      <c r="BC491" s="319"/>
      <c r="BD491" s="319"/>
      <c r="BE491" s="319"/>
      <c r="BF491" s="319"/>
      <c r="BG491" s="319"/>
      <c r="BH491" s="319"/>
      <c r="BI491" s="261"/>
      <c r="BJ491" s="261"/>
      <c r="BK491" s="261"/>
      <c r="BL491" s="261"/>
      <c r="BM491" s="261"/>
      <c r="BN491" s="261"/>
      <c r="BO491" s="261"/>
      <c r="BP491" s="261"/>
      <c r="BQ491" s="261"/>
      <c r="BR491" s="261"/>
      <c r="BS491" s="261"/>
      <c r="BT491" s="261"/>
      <c r="BU491" s="261"/>
      <c r="BV491" s="261"/>
      <c r="BW491" s="261"/>
    </row>
    <row r="492" spans="2:75">
      <c r="B492" s="230"/>
      <c r="C492" s="230"/>
      <c r="D492" s="230"/>
      <c r="E492" s="230"/>
      <c r="F492" s="230"/>
      <c r="G492" s="230"/>
      <c r="H492" s="230"/>
      <c r="I492" s="230"/>
      <c r="J492" s="230"/>
      <c r="K492" s="230"/>
      <c r="L492" s="230"/>
      <c r="M492" s="230"/>
      <c r="N492" s="315"/>
      <c r="O492" s="315"/>
      <c r="P492" s="315"/>
      <c r="Q492" s="315"/>
      <c r="R492" s="315"/>
      <c r="S492" s="315"/>
      <c r="T492" s="315"/>
      <c r="U492" s="315"/>
      <c r="V492" s="315"/>
      <c r="W492" s="315"/>
      <c r="X492" s="315"/>
      <c r="Y492" s="315"/>
      <c r="Z492" s="315"/>
      <c r="AA492" s="315"/>
      <c r="AB492" s="315"/>
      <c r="AC492" s="315"/>
      <c r="AD492" s="315"/>
      <c r="AE492" s="315"/>
      <c r="AF492" s="315"/>
      <c r="AG492" s="315"/>
      <c r="AH492" s="315"/>
      <c r="AI492" s="315"/>
      <c r="AJ492" s="315"/>
      <c r="AK492" s="315"/>
      <c r="AL492" s="315"/>
      <c r="AM492" s="315"/>
      <c r="AN492" s="315"/>
      <c r="AO492" s="315"/>
      <c r="AP492" s="315"/>
      <c r="AQ492" s="320"/>
      <c r="AR492" s="319"/>
      <c r="AS492" s="319"/>
      <c r="AT492" s="319"/>
      <c r="AU492" s="319"/>
      <c r="AV492" s="319"/>
      <c r="AW492" s="319"/>
      <c r="AX492" s="319"/>
      <c r="AY492" s="319"/>
      <c r="AZ492" s="319"/>
      <c r="BA492" s="319"/>
      <c r="BB492" s="319"/>
      <c r="BC492" s="319"/>
      <c r="BD492" s="319"/>
      <c r="BE492" s="319"/>
      <c r="BF492" s="319"/>
      <c r="BG492" s="319"/>
      <c r="BH492" s="319"/>
      <c r="BI492" s="261"/>
      <c r="BJ492" s="261"/>
      <c r="BK492" s="261"/>
      <c r="BL492" s="261"/>
      <c r="BM492" s="261"/>
      <c r="BN492" s="261"/>
      <c r="BO492" s="261"/>
      <c r="BP492" s="261"/>
      <c r="BQ492" s="261"/>
      <c r="BR492" s="261"/>
      <c r="BS492" s="261"/>
      <c r="BT492" s="261"/>
      <c r="BU492" s="261"/>
      <c r="BV492" s="261"/>
      <c r="BW492" s="261"/>
    </row>
    <row r="493" spans="2:75">
      <c r="B493" s="230"/>
      <c r="C493" s="230"/>
      <c r="D493" s="230"/>
      <c r="E493" s="230"/>
      <c r="F493" s="230"/>
      <c r="G493" s="230"/>
      <c r="H493" s="230"/>
      <c r="I493" s="230"/>
      <c r="J493" s="230"/>
      <c r="K493" s="230"/>
      <c r="L493" s="230"/>
      <c r="M493" s="230"/>
      <c r="N493" s="315"/>
      <c r="O493" s="315"/>
      <c r="P493" s="315"/>
      <c r="Q493" s="315"/>
      <c r="R493" s="315"/>
      <c r="S493" s="315"/>
      <c r="T493" s="315"/>
      <c r="U493" s="315"/>
      <c r="V493" s="315"/>
      <c r="W493" s="315"/>
      <c r="X493" s="315"/>
      <c r="Y493" s="315"/>
      <c r="Z493" s="315"/>
      <c r="AA493" s="315"/>
      <c r="AB493" s="315"/>
      <c r="AC493" s="315"/>
      <c r="AD493" s="315"/>
      <c r="AE493" s="315"/>
      <c r="AF493" s="315"/>
      <c r="AG493" s="315"/>
      <c r="AH493" s="315"/>
      <c r="AI493" s="315"/>
      <c r="AJ493" s="315"/>
      <c r="AK493" s="315"/>
      <c r="AL493" s="315"/>
      <c r="AM493" s="315"/>
      <c r="AN493" s="315"/>
      <c r="AO493" s="315"/>
      <c r="AP493" s="315"/>
      <c r="AQ493" s="320"/>
      <c r="AR493" s="319"/>
      <c r="AS493" s="319"/>
      <c r="AT493" s="319"/>
      <c r="AU493" s="319"/>
      <c r="AV493" s="319"/>
      <c r="AW493" s="319"/>
      <c r="AX493" s="319"/>
      <c r="AY493" s="319"/>
      <c r="AZ493" s="319"/>
      <c r="BA493" s="319"/>
      <c r="BB493" s="319"/>
      <c r="BC493" s="319"/>
      <c r="BD493" s="319"/>
      <c r="BE493" s="319"/>
      <c r="BF493" s="319"/>
      <c r="BG493" s="319"/>
      <c r="BH493" s="319"/>
      <c r="BI493" s="261"/>
      <c r="BJ493" s="261"/>
      <c r="BK493" s="261"/>
      <c r="BL493" s="261"/>
      <c r="BM493" s="261"/>
      <c r="BN493" s="261"/>
      <c r="BO493" s="261"/>
      <c r="BP493" s="261"/>
      <c r="BQ493" s="261"/>
      <c r="BR493" s="261"/>
      <c r="BS493" s="261"/>
      <c r="BT493" s="261"/>
      <c r="BU493" s="261"/>
      <c r="BV493" s="261"/>
      <c r="BW493" s="261"/>
    </row>
    <row r="494" spans="2:75">
      <c r="B494" s="230"/>
      <c r="C494" s="230"/>
      <c r="D494" s="230"/>
      <c r="E494" s="230"/>
      <c r="F494" s="230"/>
      <c r="G494" s="230"/>
      <c r="H494" s="230"/>
      <c r="I494" s="230"/>
      <c r="J494" s="230"/>
      <c r="K494" s="230"/>
      <c r="L494" s="230"/>
      <c r="M494" s="230"/>
      <c r="N494" s="315"/>
      <c r="O494" s="315"/>
      <c r="P494" s="315"/>
      <c r="Q494" s="315"/>
      <c r="R494" s="315"/>
      <c r="S494" s="315"/>
      <c r="T494" s="315"/>
      <c r="U494" s="315"/>
      <c r="V494" s="315"/>
      <c r="W494" s="315"/>
      <c r="X494" s="315"/>
      <c r="Y494" s="315"/>
      <c r="Z494" s="315"/>
      <c r="AA494" s="315"/>
      <c r="AB494" s="315"/>
      <c r="AC494" s="315"/>
      <c r="AD494" s="315"/>
      <c r="AE494" s="315"/>
      <c r="AF494" s="315"/>
      <c r="AG494" s="315"/>
      <c r="AH494" s="315"/>
      <c r="AI494" s="315"/>
      <c r="AJ494" s="315"/>
      <c r="AK494" s="315"/>
      <c r="AL494" s="315"/>
      <c r="AM494" s="315"/>
      <c r="AN494" s="315"/>
      <c r="AO494" s="315"/>
      <c r="AP494" s="315"/>
      <c r="AQ494" s="320"/>
      <c r="AR494" s="319"/>
      <c r="AS494" s="319"/>
      <c r="AT494" s="319"/>
      <c r="AU494" s="319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19"/>
      <c r="BI494" s="261"/>
      <c r="BJ494" s="261"/>
      <c r="BK494" s="261"/>
      <c r="BL494" s="261"/>
      <c r="BM494" s="261"/>
      <c r="BN494" s="261"/>
      <c r="BO494" s="261"/>
      <c r="BP494" s="261"/>
      <c r="BQ494" s="261"/>
      <c r="BR494" s="261"/>
      <c r="BS494" s="261"/>
      <c r="BT494" s="261"/>
      <c r="BU494" s="261"/>
      <c r="BV494" s="261"/>
      <c r="BW494" s="261"/>
    </row>
    <row r="495" spans="2:75">
      <c r="B495" s="230"/>
      <c r="C495" s="230"/>
      <c r="D495" s="230"/>
      <c r="E495" s="230"/>
      <c r="F495" s="230"/>
      <c r="G495" s="230"/>
      <c r="H495" s="230"/>
      <c r="I495" s="230"/>
      <c r="J495" s="230"/>
      <c r="K495" s="230"/>
      <c r="L495" s="230"/>
      <c r="M495" s="230"/>
      <c r="N495" s="315"/>
      <c r="O495" s="315"/>
      <c r="P495" s="315"/>
      <c r="Q495" s="315"/>
      <c r="R495" s="315"/>
      <c r="S495" s="315"/>
      <c r="T495" s="315"/>
      <c r="U495" s="315"/>
      <c r="V495" s="315"/>
      <c r="W495" s="315"/>
      <c r="X495" s="315"/>
      <c r="Y495" s="315"/>
      <c r="Z495" s="315"/>
      <c r="AA495" s="315"/>
      <c r="AB495" s="315"/>
      <c r="AC495" s="315"/>
      <c r="AD495" s="315"/>
      <c r="AE495" s="315"/>
      <c r="AF495" s="315"/>
      <c r="AG495" s="315"/>
      <c r="AH495" s="315"/>
      <c r="AI495" s="315"/>
      <c r="AJ495" s="315"/>
      <c r="AK495" s="315"/>
      <c r="AL495" s="315"/>
      <c r="AM495" s="315"/>
      <c r="AN495" s="315"/>
      <c r="AO495" s="315"/>
      <c r="AP495" s="315"/>
      <c r="AQ495" s="320"/>
      <c r="AR495" s="319"/>
      <c r="AS495" s="319"/>
      <c r="AT495" s="319"/>
      <c r="AU495" s="319"/>
      <c r="AV495" s="319"/>
      <c r="AW495" s="319"/>
      <c r="AX495" s="319"/>
      <c r="AY495" s="319"/>
      <c r="AZ495" s="319"/>
      <c r="BA495" s="319"/>
      <c r="BB495" s="319"/>
      <c r="BC495" s="319"/>
      <c r="BD495" s="319"/>
      <c r="BE495" s="319"/>
      <c r="BF495" s="319"/>
      <c r="BG495" s="319"/>
      <c r="BH495" s="319"/>
      <c r="BI495" s="261"/>
      <c r="BJ495" s="261"/>
      <c r="BK495" s="261"/>
      <c r="BL495" s="261"/>
      <c r="BM495" s="261"/>
      <c r="BN495" s="261"/>
      <c r="BO495" s="261"/>
      <c r="BP495" s="261"/>
      <c r="BQ495" s="261"/>
      <c r="BR495" s="261"/>
      <c r="BS495" s="261"/>
      <c r="BT495" s="261"/>
      <c r="BU495" s="261"/>
      <c r="BV495" s="261"/>
      <c r="BW495" s="261"/>
    </row>
    <row r="496" spans="2:75">
      <c r="B496" s="230"/>
      <c r="C496" s="230"/>
      <c r="D496" s="230"/>
      <c r="E496" s="230"/>
      <c r="F496" s="230"/>
      <c r="G496" s="230"/>
      <c r="H496" s="230"/>
      <c r="I496" s="230"/>
      <c r="J496" s="230"/>
      <c r="K496" s="230"/>
      <c r="L496" s="230"/>
      <c r="M496" s="230"/>
      <c r="N496" s="315"/>
      <c r="O496" s="315"/>
      <c r="P496" s="315"/>
      <c r="Q496" s="315"/>
      <c r="R496" s="315"/>
      <c r="S496" s="315"/>
      <c r="T496" s="315"/>
      <c r="U496" s="315"/>
      <c r="V496" s="315"/>
      <c r="W496" s="315"/>
      <c r="X496" s="315"/>
      <c r="Y496" s="315"/>
      <c r="Z496" s="315"/>
      <c r="AA496" s="315"/>
      <c r="AB496" s="315"/>
      <c r="AC496" s="315"/>
      <c r="AD496" s="315"/>
      <c r="AE496" s="315"/>
      <c r="AF496" s="315"/>
      <c r="AG496" s="315"/>
      <c r="AH496" s="315"/>
      <c r="AI496" s="315"/>
      <c r="AJ496" s="315"/>
      <c r="AK496" s="315"/>
      <c r="AL496" s="315"/>
      <c r="AM496" s="315"/>
      <c r="AN496" s="315"/>
      <c r="AO496" s="315"/>
      <c r="AP496" s="315"/>
      <c r="AQ496" s="320"/>
      <c r="AR496" s="319"/>
      <c r="AS496" s="319"/>
      <c r="AT496" s="319"/>
      <c r="AU496" s="319"/>
      <c r="AV496" s="319"/>
      <c r="AW496" s="319"/>
      <c r="AX496" s="319"/>
      <c r="AY496" s="319"/>
      <c r="AZ496" s="319"/>
      <c r="BA496" s="319"/>
      <c r="BB496" s="319"/>
      <c r="BC496" s="319"/>
      <c r="BD496" s="319"/>
      <c r="BE496" s="319"/>
      <c r="BF496" s="319"/>
      <c r="BG496" s="319"/>
      <c r="BH496" s="319"/>
      <c r="BI496" s="261"/>
      <c r="BJ496" s="261"/>
      <c r="BK496" s="261"/>
      <c r="BL496" s="261"/>
      <c r="BM496" s="261"/>
      <c r="BN496" s="261"/>
      <c r="BO496" s="261"/>
      <c r="BP496" s="261"/>
      <c r="BQ496" s="261"/>
      <c r="BR496" s="261"/>
      <c r="BS496" s="261"/>
      <c r="BT496" s="261"/>
      <c r="BU496" s="261"/>
      <c r="BV496" s="261"/>
      <c r="BW496" s="261"/>
    </row>
    <row r="497" spans="2:75">
      <c r="B497" s="230"/>
      <c r="C497" s="230"/>
      <c r="D497" s="230"/>
      <c r="E497" s="230"/>
      <c r="F497" s="230"/>
      <c r="G497" s="230"/>
      <c r="H497" s="230"/>
      <c r="I497" s="230"/>
      <c r="J497" s="230"/>
      <c r="K497" s="230"/>
      <c r="L497" s="230"/>
      <c r="M497" s="230"/>
      <c r="N497" s="315"/>
      <c r="O497" s="315"/>
      <c r="P497" s="315"/>
      <c r="Q497" s="315"/>
      <c r="R497" s="315"/>
      <c r="S497" s="315"/>
      <c r="T497" s="315"/>
      <c r="U497" s="315"/>
      <c r="V497" s="315"/>
      <c r="W497" s="315"/>
      <c r="X497" s="315"/>
      <c r="Y497" s="315"/>
      <c r="Z497" s="315"/>
      <c r="AA497" s="315"/>
      <c r="AB497" s="315"/>
      <c r="AC497" s="315"/>
      <c r="AD497" s="315"/>
      <c r="AE497" s="315"/>
      <c r="AF497" s="315"/>
      <c r="AG497" s="315"/>
      <c r="AH497" s="315"/>
      <c r="AI497" s="315"/>
      <c r="AJ497" s="315"/>
      <c r="AK497" s="315"/>
      <c r="AL497" s="315"/>
      <c r="AM497" s="315"/>
      <c r="AN497" s="315"/>
      <c r="AO497" s="315"/>
      <c r="AP497" s="315"/>
      <c r="AQ497" s="320"/>
      <c r="AR497" s="319"/>
      <c r="AS497" s="319"/>
      <c r="AT497" s="319"/>
      <c r="AU497" s="319"/>
      <c r="AV497" s="319"/>
      <c r="AW497" s="319"/>
      <c r="AX497" s="319"/>
      <c r="AY497" s="319"/>
      <c r="AZ497" s="319"/>
      <c r="BA497" s="319"/>
      <c r="BB497" s="319"/>
      <c r="BC497" s="319"/>
      <c r="BD497" s="319"/>
      <c r="BE497" s="319"/>
      <c r="BF497" s="319"/>
      <c r="BG497" s="319"/>
      <c r="BH497" s="319"/>
      <c r="BI497" s="261"/>
      <c r="BJ497" s="261"/>
      <c r="BK497" s="261"/>
      <c r="BL497" s="261"/>
      <c r="BM497" s="261"/>
      <c r="BN497" s="261"/>
      <c r="BO497" s="261"/>
      <c r="BP497" s="261"/>
      <c r="BQ497" s="261"/>
      <c r="BR497" s="261"/>
      <c r="BS497" s="261"/>
      <c r="BT497" s="261"/>
      <c r="BU497" s="261"/>
      <c r="BV497" s="261"/>
      <c r="BW497" s="261"/>
    </row>
    <row r="498" spans="2:75">
      <c r="B498" s="230"/>
      <c r="C498" s="230"/>
      <c r="D498" s="230"/>
      <c r="E498" s="230"/>
      <c r="F498" s="230"/>
      <c r="G498" s="230"/>
      <c r="H498" s="230"/>
      <c r="I498" s="230"/>
      <c r="J498" s="230"/>
      <c r="K498" s="230"/>
      <c r="L498" s="230"/>
      <c r="M498" s="230"/>
      <c r="N498" s="315"/>
      <c r="O498" s="315"/>
      <c r="P498" s="315"/>
      <c r="Q498" s="315"/>
      <c r="R498" s="315"/>
      <c r="S498" s="315"/>
      <c r="T498" s="315"/>
      <c r="U498" s="315"/>
      <c r="V498" s="315"/>
      <c r="W498" s="315"/>
      <c r="X498" s="315"/>
      <c r="Y498" s="315"/>
      <c r="Z498" s="315"/>
      <c r="AA498" s="315"/>
      <c r="AB498" s="315"/>
      <c r="AC498" s="315"/>
      <c r="AD498" s="315"/>
      <c r="AE498" s="315"/>
      <c r="AF498" s="315"/>
      <c r="AG498" s="315"/>
      <c r="AH498" s="315"/>
      <c r="AI498" s="315"/>
      <c r="AJ498" s="315"/>
      <c r="AK498" s="315"/>
      <c r="AL498" s="315"/>
      <c r="AM498" s="315"/>
      <c r="AN498" s="315"/>
      <c r="AO498" s="315"/>
      <c r="AP498" s="315"/>
      <c r="AQ498" s="320"/>
      <c r="AR498" s="319"/>
      <c r="AS498" s="319"/>
      <c r="AT498" s="319"/>
      <c r="AU498" s="319"/>
      <c r="AV498" s="319"/>
      <c r="AW498" s="319"/>
      <c r="AX498" s="319"/>
      <c r="AY498" s="319"/>
      <c r="AZ498" s="319"/>
      <c r="BA498" s="319"/>
      <c r="BB498" s="319"/>
      <c r="BC498" s="319"/>
      <c r="BD498" s="319"/>
      <c r="BE498" s="319"/>
      <c r="BF498" s="319"/>
      <c r="BG498" s="319"/>
      <c r="BH498" s="319"/>
      <c r="BI498" s="261"/>
      <c r="BJ498" s="261"/>
      <c r="BK498" s="261"/>
      <c r="BL498" s="261"/>
      <c r="BM498" s="261"/>
      <c r="BN498" s="261"/>
      <c r="BO498" s="261"/>
      <c r="BP498" s="261"/>
      <c r="BQ498" s="261"/>
      <c r="BR498" s="261"/>
      <c r="BS498" s="261"/>
      <c r="BT498" s="261"/>
      <c r="BU498" s="261"/>
      <c r="BV498" s="261"/>
      <c r="BW498" s="261"/>
    </row>
    <row r="499" spans="2:75">
      <c r="B499" s="230"/>
      <c r="C499" s="230"/>
      <c r="D499" s="230"/>
      <c r="E499" s="230"/>
      <c r="F499" s="230"/>
      <c r="G499" s="230"/>
      <c r="H499" s="230"/>
      <c r="I499" s="230"/>
      <c r="J499" s="230"/>
      <c r="K499" s="230"/>
      <c r="L499" s="230"/>
      <c r="M499" s="230"/>
      <c r="N499" s="315"/>
      <c r="O499" s="315"/>
      <c r="P499" s="315"/>
      <c r="Q499" s="315"/>
      <c r="R499" s="315"/>
      <c r="S499" s="315"/>
      <c r="T499" s="315"/>
      <c r="U499" s="315"/>
      <c r="V499" s="315"/>
      <c r="W499" s="315"/>
      <c r="X499" s="315"/>
      <c r="Y499" s="315"/>
      <c r="Z499" s="315"/>
      <c r="AA499" s="315"/>
      <c r="AB499" s="315"/>
      <c r="AC499" s="315"/>
      <c r="AD499" s="315"/>
      <c r="AE499" s="315"/>
      <c r="AF499" s="315"/>
      <c r="AG499" s="315"/>
      <c r="AH499" s="315"/>
      <c r="AI499" s="315"/>
      <c r="AJ499" s="315"/>
      <c r="AK499" s="315"/>
      <c r="AL499" s="315"/>
      <c r="AM499" s="315"/>
      <c r="AN499" s="315"/>
      <c r="AO499" s="315"/>
      <c r="AP499" s="315"/>
      <c r="AQ499" s="320"/>
      <c r="AR499" s="319"/>
      <c r="AS499" s="319"/>
      <c r="AT499" s="319"/>
      <c r="AU499" s="319"/>
      <c r="AV499" s="319"/>
      <c r="AW499" s="319"/>
      <c r="AX499" s="319"/>
      <c r="AY499" s="319"/>
      <c r="AZ499" s="319"/>
      <c r="BA499" s="319"/>
      <c r="BB499" s="319"/>
      <c r="BC499" s="319"/>
      <c r="BD499" s="319"/>
      <c r="BE499" s="319"/>
      <c r="BF499" s="319"/>
      <c r="BG499" s="319"/>
      <c r="BH499" s="319"/>
      <c r="BI499" s="261"/>
      <c r="BJ499" s="261"/>
      <c r="BK499" s="261"/>
      <c r="BL499" s="261"/>
      <c r="BM499" s="261"/>
      <c r="BN499" s="261"/>
      <c r="BO499" s="261"/>
      <c r="BP499" s="261"/>
      <c r="BQ499" s="261"/>
      <c r="BR499" s="261"/>
      <c r="BS499" s="261"/>
      <c r="BT499" s="261"/>
      <c r="BU499" s="261"/>
      <c r="BV499" s="261"/>
      <c r="BW499" s="261"/>
    </row>
    <row r="500" spans="2:75">
      <c r="B500" s="230"/>
      <c r="C500" s="230"/>
      <c r="D500" s="230"/>
      <c r="E500" s="230"/>
      <c r="F500" s="230"/>
      <c r="G500" s="230"/>
      <c r="H500" s="230"/>
      <c r="I500" s="230"/>
      <c r="J500" s="230"/>
      <c r="K500" s="230"/>
      <c r="L500" s="230"/>
      <c r="M500" s="230"/>
      <c r="N500" s="315"/>
      <c r="O500" s="315"/>
      <c r="P500" s="315"/>
      <c r="Q500" s="315"/>
      <c r="R500" s="315"/>
      <c r="S500" s="315"/>
      <c r="T500" s="315"/>
      <c r="U500" s="315"/>
      <c r="V500" s="315"/>
      <c r="W500" s="315"/>
      <c r="X500" s="315"/>
      <c r="Y500" s="315"/>
      <c r="Z500" s="315"/>
      <c r="AA500" s="315"/>
      <c r="AB500" s="315"/>
      <c r="AC500" s="315"/>
      <c r="AD500" s="315"/>
      <c r="AE500" s="315"/>
      <c r="AF500" s="315"/>
      <c r="AG500" s="315"/>
      <c r="AH500" s="315"/>
      <c r="AI500" s="315"/>
      <c r="AJ500" s="315"/>
      <c r="AK500" s="315"/>
      <c r="AL500" s="315"/>
      <c r="AM500" s="315"/>
      <c r="AN500" s="315"/>
      <c r="AO500" s="315"/>
      <c r="AP500" s="315"/>
      <c r="AQ500" s="320"/>
      <c r="AR500" s="319"/>
      <c r="AS500" s="319"/>
      <c r="AT500" s="319"/>
      <c r="AU500" s="319"/>
      <c r="AV500" s="319"/>
      <c r="AW500" s="319"/>
      <c r="AX500" s="319"/>
      <c r="AY500" s="319"/>
      <c r="AZ500" s="319"/>
      <c r="BA500" s="319"/>
      <c r="BB500" s="319"/>
      <c r="BC500" s="319"/>
      <c r="BD500" s="319"/>
      <c r="BE500" s="319"/>
      <c r="BF500" s="319"/>
      <c r="BG500" s="319"/>
      <c r="BH500" s="319"/>
      <c r="BI500" s="261"/>
      <c r="BJ500" s="261"/>
      <c r="BK500" s="261"/>
      <c r="BL500" s="261"/>
      <c r="BM500" s="261"/>
      <c r="BN500" s="261"/>
      <c r="BO500" s="261"/>
      <c r="BP500" s="261"/>
      <c r="BQ500" s="261"/>
      <c r="BR500" s="261"/>
      <c r="BS500" s="261"/>
      <c r="BT500" s="261"/>
      <c r="BU500" s="261"/>
      <c r="BV500" s="261"/>
      <c r="BW500" s="261"/>
    </row>
    <row r="501" spans="2:75">
      <c r="B501" s="230"/>
      <c r="C501" s="230"/>
      <c r="D501" s="230"/>
      <c r="E501" s="230"/>
      <c r="F501" s="230"/>
      <c r="G501" s="230"/>
      <c r="H501" s="230"/>
      <c r="I501" s="230"/>
      <c r="J501" s="230"/>
      <c r="K501" s="230"/>
      <c r="L501" s="230"/>
      <c r="M501" s="230"/>
      <c r="N501" s="315"/>
      <c r="O501" s="315"/>
      <c r="P501" s="315"/>
      <c r="Q501" s="315"/>
      <c r="R501" s="315"/>
      <c r="S501" s="315"/>
      <c r="T501" s="315"/>
      <c r="U501" s="315"/>
      <c r="V501" s="315"/>
      <c r="W501" s="315"/>
      <c r="X501" s="315"/>
      <c r="Y501" s="315"/>
      <c r="Z501" s="315"/>
      <c r="AA501" s="315"/>
      <c r="AB501" s="315"/>
      <c r="AC501" s="315"/>
      <c r="AD501" s="315"/>
      <c r="AE501" s="315"/>
      <c r="AF501" s="315"/>
      <c r="AG501" s="315"/>
      <c r="AH501" s="315"/>
      <c r="AI501" s="315"/>
      <c r="AJ501" s="315"/>
      <c r="AK501" s="315"/>
      <c r="AL501" s="315"/>
      <c r="AM501" s="315"/>
      <c r="AN501" s="315"/>
      <c r="AO501" s="315"/>
      <c r="AP501" s="315"/>
      <c r="AQ501" s="320"/>
      <c r="AR501" s="319"/>
      <c r="AS501" s="319"/>
      <c r="AT501" s="319"/>
      <c r="AU501" s="319"/>
      <c r="AV501" s="319"/>
      <c r="AW501" s="319"/>
      <c r="AX501" s="319"/>
      <c r="AY501" s="319"/>
      <c r="AZ501" s="319"/>
      <c r="BA501" s="319"/>
      <c r="BB501" s="319"/>
      <c r="BC501" s="319"/>
      <c r="BD501" s="319"/>
      <c r="BE501" s="319"/>
      <c r="BF501" s="319"/>
      <c r="BG501" s="319"/>
      <c r="BH501" s="319"/>
      <c r="BI501" s="261"/>
      <c r="BJ501" s="261"/>
      <c r="BK501" s="261"/>
      <c r="BL501" s="261"/>
      <c r="BM501" s="261"/>
      <c r="BN501" s="261"/>
      <c r="BO501" s="261"/>
      <c r="BP501" s="261"/>
      <c r="BQ501" s="261"/>
      <c r="BR501" s="261"/>
      <c r="BS501" s="261"/>
      <c r="BT501" s="261"/>
      <c r="BU501" s="261"/>
      <c r="BV501" s="261"/>
      <c r="BW501" s="261"/>
    </row>
    <row r="502" spans="2:75">
      <c r="B502" s="230"/>
      <c r="C502" s="230"/>
      <c r="D502" s="230"/>
      <c r="E502" s="230"/>
      <c r="F502" s="230"/>
      <c r="G502" s="230"/>
      <c r="H502" s="230"/>
      <c r="I502" s="230"/>
      <c r="J502" s="230"/>
      <c r="K502" s="230"/>
      <c r="L502" s="230"/>
      <c r="M502" s="230"/>
      <c r="N502" s="315"/>
      <c r="O502" s="315"/>
      <c r="P502" s="315"/>
      <c r="Q502" s="315"/>
      <c r="R502" s="315"/>
      <c r="S502" s="315"/>
      <c r="T502" s="315"/>
      <c r="U502" s="315"/>
      <c r="V502" s="315"/>
      <c r="W502" s="315"/>
      <c r="X502" s="315"/>
      <c r="Y502" s="315"/>
      <c r="Z502" s="315"/>
      <c r="AA502" s="315"/>
      <c r="AB502" s="315"/>
      <c r="AC502" s="315"/>
      <c r="AD502" s="315"/>
      <c r="AE502" s="315"/>
      <c r="AF502" s="315"/>
      <c r="AG502" s="315"/>
      <c r="AH502" s="315"/>
      <c r="AI502" s="315"/>
      <c r="AJ502" s="315"/>
      <c r="AK502" s="315"/>
      <c r="AL502" s="315"/>
      <c r="AM502" s="315"/>
      <c r="AN502" s="315"/>
      <c r="AO502" s="315"/>
      <c r="AP502" s="315"/>
      <c r="AQ502" s="320"/>
      <c r="AR502" s="319"/>
      <c r="AS502" s="319"/>
      <c r="AT502" s="319"/>
      <c r="AU502" s="319"/>
      <c r="AV502" s="319"/>
      <c r="AW502" s="319"/>
      <c r="AX502" s="319"/>
      <c r="AY502" s="319"/>
      <c r="AZ502" s="319"/>
      <c r="BA502" s="319"/>
      <c r="BB502" s="319"/>
      <c r="BC502" s="319"/>
      <c r="BD502" s="319"/>
      <c r="BE502" s="319"/>
      <c r="BF502" s="319"/>
      <c r="BG502" s="319"/>
      <c r="BH502" s="319"/>
      <c r="BI502" s="261"/>
      <c r="BJ502" s="261"/>
      <c r="BK502" s="261"/>
      <c r="BL502" s="261"/>
      <c r="BM502" s="261"/>
      <c r="BN502" s="261"/>
      <c r="BO502" s="261"/>
      <c r="BP502" s="261"/>
      <c r="BQ502" s="261"/>
      <c r="BR502" s="261"/>
      <c r="BS502" s="261"/>
      <c r="BT502" s="261"/>
      <c r="BU502" s="261"/>
      <c r="BV502" s="261"/>
      <c r="BW502" s="261"/>
    </row>
    <row r="503" spans="2:75">
      <c r="B503" s="230"/>
      <c r="C503" s="230"/>
      <c r="D503" s="230"/>
      <c r="E503" s="230"/>
      <c r="F503" s="230"/>
      <c r="G503" s="230"/>
      <c r="H503" s="230"/>
      <c r="I503" s="230"/>
      <c r="J503" s="230"/>
      <c r="K503" s="230"/>
      <c r="L503" s="230"/>
      <c r="M503" s="230"/>
      <c r="N503" s="315"/>
      <c r="O503" s="315"/>
      <c r="P503" s="315"/>
      <c r="Q503" s="315"/>
      <c r="R503" s="315"/>
      <c r="S503" s="315"/>
      <c r="T503" s="315"/>
      <c r="U503" s="315"/>
      <c r="V503" s="315"/>
      <c r="W503" s="315"/>
      <c r="X503" s="315"/>
      <c r="Y503" s="315"/>
      <c r="Z503" s="315"/>
      <c r="AA503" s="315"/>
      <c r="AB503" s="315"/>
      <c r="AC503" s="315"/>
      <c r="AD503" s="315"/>
      <c r="AE503" s="315"/>
      <c r="AF503" s="315"/>
      <c r="AG503" s="315"/>
      <c r="AH503" s="315"/>
      <c r="AI503" s="315"/>
      <c r="AJ503" s="315"/>
      <c r="AK503" s="315"/>
      <c r="AL503" s="315"/>
      <c r="AM503" s="315"/>
      <c r="AN503" s="315"/>
      <c r="AO503" s="315"/>
      <c r="AP503" s="315"/>
      <c r="AQ503" s="320"/>
      <c r="AR503" s="319"/>
      <c r="AS503" s="319"/>
      <c r="AT503" s="319"/>
      <c r="AU503" s="319"/>
      <c r="AV503" s="319"/>
      <c r="AW503" s="319"/>
      <c r="AX503" s="319"/>
      <c r="AY503" s="319"/>
      <c r="AZ503" s="319"/>
      <c r="BA503" s="319"/>
      <c r="BB503" s="319"/>
      <c r="BC503" s="319"/>
      <c r="BD503" s="319"/>
      <c r="BE503" s="319"/>
      <c r="BF503" s="319"/>
      <c r="BG503" s="319"/>
      <c r="BH503" s="319"/>
      <c r="BI503" s="261"/>
      <c r="BJ503" s="261"/>
      <c r="BK503" s="261"/>
      <c r="BL503" s="261"/>
      <c r="BM503" s="261"/>
      <c r="BN503" s="261"/>
      <c r="BO503" s="261"/>
      <c r="BP503" s="261"/>
      <c r="BQ503" s="261"/>
      <c r="BR503" s="261"/>
      <c r="BS503" s="261"/>
      <c r="BT503" s="261"/>
      <c r="BU503" s="261"/>
      <c r="BV503" s="261"/>
      <c r="BW503" s="261"/>
    </row>
    <row r="504" spans="2:75">
      <c r="B504" s="230"/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  <c r="M504" s="230"/>
      <c r="N504" s="315"/>
      <c r="O504" s="315"/>
      <c r="P504" s="315"/>
      <c r="Q504" s="315"/>
      <c r="R504" s="315"/>
      <c r="S504" s="315"/>
      <c r="T504" s="315"/>
      <c r="U504" s="315"/>
      <c r="V504" s="315"/>
      <c r="W504" s="315"/>
      <c r="X504" s="315"/>
      <c r="Y504" s="315"/>
      <c r="Z504" s="315"/>
      <c r="AA504" s="315"/>
      <c r="AB504" s="315"/>
      <c r="AC504" s="315"/>
      <c r="AD504" s="315"/>
      <c r="AE504" s="315"/>
      <c r="AF504" s="315"/>
      <c r="AG504" s="315"/>
      <c r="AH504" s="315"/>
      <c r="AI504" s="315"/>
      <c r="AJ504" s="315"/>
      <c r="AK504" s="315"/>
      <c r="AL504" s="315"/>
      <c r="AM504" s="315"/>
      <c r="AN504" s="315"/>
      <c r="AO504" s="315"/>
      <c r="AP504" s="315"/>
      <c r="AQ504" s="320"/>
      <c r="AR504" s="319"/>
      <c r="AS504" s="319"/>
      <c r="AT504" s="319"/>
      <c r="AU504" s="319"/>
      <c r="AV504" s="319"/>
      <c r="AW504" s="319"/>
      <c r="AX504" s="319"/>
      <c r="AY504" s="319"/>
      <c r="AZ504" s="319"/>
      <c r="BA504" s="319"/>
      <c r="BB504" s="319"/>
      <c r="BC504" s="319"/>
      <c r="BD504" s="319"/>
      <c r="BE504" s="319"/>
      <c r="BF504" s="319"/>
      <c r="BG504" s="319"/>
      <c r="BH504" s="319"/>
      <c r="BI504" s="261"/>
      <c r="BJ504" s="261"/>
      <c r="BK504" s="261"/>
      <c r="BL504" s="261"/>
      <c r="BM504" s="261"/>
      <c r="BN504" s="261"/>
      <c r="BO504" s="261"/>
      <c r="BP504" s="261"/>
      <c r="BQ504" s="261"/>
      <c r="BR504" s="261"/>
      <c r="BS504" s="261"/>
      <c r="BT504" s="261"/>
      <c r="BU504" s="261"/>
      <c r="BV504" s="261"/>
      <c r="BW504" s="261"/>
    </row>
    <row r="505" spans="2:75">
      <c r="B505" s="230"/>
      <c r="C505" s="230"/>
      <c r="D505" s="230"/>
      <c r="E505" s="230"/>
      <c r="F505" s="230"/>
      <c r="G505" s="230"/>
      <c r="H505" s="230"/>
      <c r="I505" s="230"/>
      <c r="J505" s="230"/>
      <c r="K505" s="230"/>
      <c r="L505" s="230"/>
      <c r="M505" s="230"/>
      <c r="N505" s="315"/>
      <c r="O505" s="315"/>
      <c r="P505" s="315"/>
      <c r="Q505" s="315"/>
      <c r="R505" s="315"/>
      <c r="S505" s="315"/>
      <c r="T505" s="315"/>
      <c r="U505" s="315"/>
      <c r="V505" s="315"/>
      <c r="W505" s="315"/>
      <c r="X505" s="315"/>
      <c r="Y505" s="315"/>
      <c r="Z505" s="315"/>
      <c r="AA505" s="315"/>
      <c r="AB505" s="315"/>
      <c r="AC505" s="315"/>
      <c r="AD505" s="315"/>
      <c r="AE505" s="315"/>
      <c r="AF505" s="315"/>
      <c r="AG505" s="315"/>
      <c r="AH505" s="315"/>
      <c r="AI505" s="315"/>
      <c r="AJ505" s="315"/>
      <c r="AK505" s="315"/>
      <c r="AL505" s="315"/>
      <c r="AM505" s="315"/>
      <c r="AN505" s="315"/>
      <c r="AO505" s="315"/>
      <c r="AP505" s="315"/>
      <c r="AQ505" s="320"/>
      <c r="AR505" s="319"/>
      <c r="AS505" s="319"/>
      <c r="AT505" s="319"/>
      <c r="AU505" s="319"/>
      <c r="AV505" s="319"/>
      <c r="AW505" s="319"/>
      <c r="AX505" s="319"/>
      <c r="AY505" s="319"/>
      <c r="AZ505" s="319"/>
      <c r="BA505" s="319"/>
      <c r="BB505" s="319"/>
      <c r="BC505" s="319"/>
      <c r="BD505" s="319"/>
      <c r="BE505" s="319"/>
      <c r="BF505" s="319"/>
      <c r="BG505" s="319"/>
      <c r="BH505" s="319"/>
      <c r="BI505" s="261"/>
      <c r="BJ505" s="261"/>
      <c r="BK505" s="261"/>
      <c r="BL505" s="261"/>
      <c r="BM505" s="261"/>
      <c r="BN505" s="261"/>
      <c r="BO505" s="261"/>
      <c r="BP505" s="261"/>
      <c r="BQ505" s="261"/>
      <c r="BR505" s="261"/>
      <c r="BS505" s="261"/>
      <c r="BT505" s="261"/>
      <c r="BU505" s="261"/>
      <c r="BV505" s="261"/>
      <c r="BW505" s="261"/>
    </row>
    <row r="506" spans="2:75">
      <c r="B506" s="230"/>
      <c r="C506" s="230"/>
      <c r="D506" s="230"/>
      <c r="E506" s="230"/>
      <c r="F506" s="230"/>
      <c r="G506" s="230"/>
      <c r="H506" s="230"/>
      <c r="I506" s="230"/>
      <c r="J506" s="230"/>
      <c r="K506" s="230"/>
      <c r="L506" s="230"/>
      <c r="M506" s="230"/>
      <c r="N506" s="315"/>
      <c r="O506" s="315"/>
      <c r="P506" s="315"/>
      <c r="Q506" s="315"/>
      <c r="R506" s="315"/>
      <c r="S506" s="315"/>
      <c r="T506" s="315"/>
      <c r="U506" s="315"/>
      <c r="V506" s="315"/>
      <c r="W506" s="315"/>
      <c r="X506" s="315"/>
      <c r="Y506" s="315"/>
      <c r="Z506" s="315"/>
      <c r="AA506" s="315"/>
      <c r="AB506" s="315"/>
      <c r="AC506" s="315"/>
      <c r="AD506" s="315"/>
      <c r="AE506" s="315"/>
      <c r="AF506" s="315"/>
      <c r="AG506" s="315"/>
      <c r="AH506" s="315"/>
      <c r="AI506" s="315"/>
      <c r="AJ506" s="315"/>
      <c r="AK506" s="315"/>
      <c r="AL506" s="315"/>
      <c r="AM506" s="315"/>
      <c r="AN506" s="315"/>
      <c r="AO506" s="315"/>
      <c r="AP506" s="315"/>
      <c r="AQ506" s="319"/>
      <c r="AR506" s="319"/>
      <c r="AS506" s="319"/>
      <c r="AT506" s="319"/>
      <c r="AU506" s="319"/>
      <c r="AV506" s="319"/>
      <c r="AW506" s="319"/>
      <c r="AX506" s="319"/>
      <c r="AY506" s="319"/>
      <c r="AZ506" s="319"/>
      <c r="BA506" s="319"/>
      <c r="BB506" s="319"/>
      <c r="BC506" s="319"/>
      <c r="BD506" s="319"/>
      <c r="BE506" s="319"/>
      <c r="BF506" s="319"/>
      <c r="BG506" s="319"/>
      <c r="BH506" s="319"/>
      <c r="BI506" s="261"/>
      <c r="BJ506" s="261"/>
      <c r="BK506" s="261"/>
      <c r="BL506" s="261"/>
      <c r="BM506" s="261"/>
      <c r="BN506" s="261"/>
      <c r="BO506" s="261"/>
      <c r="BP506" s="261"/>
      <c r="BQ506" s="261"/>
      <c r="BR506" s="261"/>
      <c r="BS506" s="261"/>
      <c r="BT506" s="261"/>
      <c r="BU506" s="261"/>
      <c r="BV506" s="261"/>
      <c r="BW506" s="261"/>
    </row>
    <row r="507" spans="2:75">
      <c r="B507" s="230"/>
      <c r="C507" s="230"/>
      <c r="D507" s="230"/>
      <c r="E507" s="230"/>
      <c r="F507" s="230"/>
      <c r="G507" s="230"/>
      <c r="H507" s="230"/>
      <c r="I507" s="230"/>
      <c r="J507" s="230"/>
      <c r="K507" s="230"/>
      <c r="L507" s="230"/>
      <c r="M507" s="230"/>
      <c r="N507" s="315"/>
      <c r="O507" s="315"/>
      <c r="P507" s="315"/>
      <c r="Q507" s="315"/>
      <c r="R507" s="315"/>
      <c r="S507" s="315"/>
      <c r="T507" s="315"/>
      <c r="U507" s="315"/>
      <c r="V507" s="315"/>
      <c r="W507" s="315"/>
      <c r="X507" s="315"/>
      <c r="Y507" s="315"/>
      <c r="Z507" s="315"/>
      <c r="AA507" s="315"/>
      <c r="AB507" s="315"/>
      <c r="AC507" s="315"/>
      <c r="AD507" s="315"/>
      <c r="AE507" s="315"/>
      <c r="AF507" s="315"/>
      <c r="AG507" s="315"/>
      <c r="AH507" s="315"/>
      <c r="AI507" s="315"/>
      <c r="AJ507" s="315"/>
      <c r="AK507" s="315"/>
      <c r="AL507" s="315"/>
      <c r="AM507" s="315"/>
      <c r="AN507" s="315"/>
      <c r="AO507" s="315"/>
      <c r="AP507" s="315"/>
      <c r="AQ507" s="319"/>
      <c r="AR507" s="319"/>
      <c r="AS507" s="319"/>
      <c r="AT507" s="319"/>
      <c r="AU507" s="319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19"/>
      <c r="BI507" s="261"/>
      <c r="BJ507" s="261"/>
      <c r="BK507" s="261"/>
      <c r="BL507" s="261"/>
      <c r="BM507" s="261"/>
      <c r="BN507" s="261"/>
      <c r="BO507" s="261"/>
      <c r="BP507" s="261"/>
      <c r="BQ507" s="261"/>
      <c r="BR507" s="261"/>
      <c r="BS507" s="261"/>
      <c r="BT507" s="261"/>
      <c r="BU507" s="261"/>
      <c r="BV507" s="261"/>
      <c r="BW507" s="261"/>
    </row>
    <row r="508" spans="2:75">
      <c r="B508" s="230"/>
      <c r="C508" s="230"/>
      <c r="D508" s="230"/>
      <c r="E508" s="230"/>
      <c r="F508" s="230"/>
      <c r="G508" s="230"/>
      <c r="H508" s="230"/>
      <c r="I508" s="230"/>
      <c r="J508" s="230"/>
      <c r="K508" s="230"/>
      <c r="L508" s="230"/>
      <c r="M508" s="230"/>
      <c r="N508" s="315"/>
      <c r="O508" s="315"/>
      <c r="P508" s="315"/>
      <c r="Q508" s="315"/>
      <c r="R508" s="315"/>
      <c r="S508" s="315"/>
      <c r="T508" s="315"/>
      <c r="U508" s="315"/>
      <c r="V508" s="315"/>
      <c r="W508" s="315"/>
      <c r="X508" s="315"/>
      <c r="Y508" s="315"/>
      <c r="Z508" s="315"/>
      <c r="AA508" s="315"/>
      <c r="AB508" s="315"/>
      <c r="AC508" s="315"/>
      <c r="AD508" s="315"/>
      <c r="AE508" s="315"/>
      <c r="AF508" s="315"/>
      <c r="AG508" s="315"/>
      <c r="AH508" s="315"/>
      <c r="AI508" s="315"/>
      <c r="AJ508" s="315"/>
      <c r="AK508" s="315"/>
      <c r="AL508" s="315"/>
      <c r="AM508" s="315"/>
      <c r="AN508" s="315"/>
      <c r="AO508" s="315"/>
      <c r="AP508" s="315"/>
      <c r="AQ508" s="319"/>
      <c r="AR508" s="319"/>
      <c r="AS508" s="319"/>
      <c r="AT508" s="319"/>
      <c r="AU508" s="319"/>
      <c r="AV508" s="319"/>
      <c r="AW508" s="319"/>
      <c r="AX508" s="319"/>
      <c r="AY508" s="319"/>
      <c r="AZ508" s="319"/>
      <c r="BA508" s="319"/>
      <c r="BB508" s="319"/>
      <c r="BC508" s="319"/>
      <c r="BD508" s="319"/>
      <c r="BE508" s="319"/>
      <c r="BF508" s="319"/>
      <c r="BG508" s="319"/>
      <c r="BH508" s="319"/>
      <c r="BI508" s="261"/>
      <c r="BJ508" s="261"/>
      <c r="BK508" s="261"/>
      <c r="BL508" s="261"/>
      <c r="BM508" s="261"/>
      <c r="BN508" s="261"/>
      <c r="BO508" s="261"/>
      <c r="BP508" s="261"/>
      <c r="BQ508" s="261"/>
      <c r="BR508" s="261"/>
      <c r="BS508" s="261"/>
      <c r="BT508" s="261"/>
      <c r="BU508" s="261"/>
      <c r="BV508" s="261"/>
      <c r="BW508" s="261"/>
    </row>
    <row r="509" spans="2:75">
      <c r="B509" s="230"/>
      <c r="C509" s="230"/>
      <c r="D509" s="230"/>
      <c r="E509" s="230"/>
      <c r="F509" s="230"/>
      <c r="G509" s="230"/>
      <c r="H509" s="230"/>
      <c r="I509" s="230"/>
      <c r="J509" s="230"/>
      <c r="K509" s="230"/>
      <c r="L509" s="230"/>
      <c r="M509" s="230"/>
      <c r="N509" s="315"/>
      <c r="O509" s="315"/>
      <c r="P509" s="315"/>
      <c r="Q509" s="315"/>
      <c r="R509" s="315"/>
      <c r="S509" s="315"/>
      <c r="T509" s="315"/>
      <c r="U509" s="315"/>
      <c r="V509" s="315"/>
      <c r="W509" s="315"/>
      <c r="X509" s="315"/>
      <c r="Y509" s="315"/>
      <c r="Z509" s="315"/>
      <c r="AA509" s="315"/>
      <c r="AB509" s="315"/>
      <c r="AC509" s="315"/>
      <c r="AD509" s="315"/>
      <c r="AE509" s="315"/>
      <c r="AF509" s="315"/>
      <c r="AG509" s="315"/>
      <c r="AH509" s="315"/>
      <c r="AI509" s="315"/>
      <c r="AJ509" s="315"/>
      <c r="AK509" s="315"/>
      <c r="AL509" s="315"/>
      <c r="AM509" s="315"/>
      <c r="AN509" s="315"/>
      <c r="AO509" s="315"/>
      <c r="AP509" s="315"/>
      <c r="AQ509" s="319"/>
      <c r="AR509" s="319"/>
      <c r="AS509" s="319"/>
      <c r="AT509" s="319"/>
      <c r="AU509" s="319"/>
      <c r="AV509" s="319"/>
      <c r="AW509" s="319"/>
      <c r="AX509" s="319"/>
      <c r="AY509" s="319"/>
      <c r="AZ509" s="319"/>
      <c r="BA509" s="319"/>
      <c r="BB509" s="319"/>
      <c r="BC509" s="319"/>
      <c r="BD509" s="319"/>
      <c r="BE509" s="319"/>
      <c r="BF509" s="319"/>
      <c r="BG509" s="319"/>
      <c r="BH509" s="319"/>
      <c r="BI509" s="261"/>
      <c r="BJ509" s="261"/>
      <c r="BK509" s="261"/>
      <c r="BL509" s="261"/>
      <c r="BM509" s="261"/>
      <c r="BN509" s="261"/>
      <c r="BO509" s="261"/>
      <c r="BP509" s="261"/>
      <c r="BQ509" s="261"/>
      <c r="BR509" s="261"/>
      <c r="BS509" s="261"/>
      <c r="BT509" s="261"/>
      <c r="BU509" s="261"/>
      <c r="BV509" s="261"/>
      <c r="BW509" s="261"/>
    </row>
    <row r="510" spans="2:75">
      <c r="B510" s="230"/>
      <c r="C510" s="230"/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315"/>
      <c r="O510" s="315"/>
      <c r="P510" s="315"/>
      <c r="Q510" s="315"/>
      <c r="R510" s="315"/>
      <c r="S510" s="315"/>
      <c r="T510" s="315"/>
      <c r="U510" s="315"/>
      <c r="V510" s="315"/>
      <c r="W510" s="315"/>
      <c r="X510" s="315"/>
      <c r="Y510" s="315"/>
      <c r="Z510" s="315"/>
      <c r="AA510" s="315"/>
      <c r="AB510" s="315"/>
      <c r="AC510" s="315"/>
      <c r="AD510" s="315"/>
      <c r="AE510" s="315"/>
      <c r="AF510" s="315"/>
      <c r="AG510" s="315"/>
      <c r="AH510" s="315"/>
      <c r="AI510" s="315"/>
      <c r="AJ510" s="315"/>
      <c r="AK510" s="315"/>
      <c r="AL510" s="315"/>
      <c r="AM510" s="315"/>
      <c r="AN510" s="315"/>
      <c r="AO510" s="315"/>
      <c r="AP510" s="315"/>
      <c r="AQ510" s="319"/>
      <c r="AR510" s="319"/>
      <c r="AS510" s="319"/>
      <c r="AT510" s="319"/>
      <c r="AU510" s="319"/>
      <c r="AV510" s="319"/>
      <c r="AW510" s="319"/>
      <c r="AX510" s="319"/>
      <c r="AY510" s="319"/>
      <c r="AZ510" s="319"/>
      <c r="BA510" s="319"/>
      <c r="BB510" s="319"/>
      <c r="BC510" s="319"/>
      <c r="BD510" s="319"/>
      <c r="BE510" s="319"/>
      <c r="BF510" s="319"/>
      <c r="BG510" s="319"/>
      <c r="BH510" s="319"/>
      <c r="BI510" s="261"/>
      <c r="BJ510" s="261"/>
      <c r="BK510" s="261"/>
      <c r="BL510" s="261"/>
      <c r="BM510" s="261"/>
      <c r="BN510" s="261"/>
      <c r="BO510" s="261"/>
      <c r="BP510" s="261"/>
      <c r="BQ510" s="261"/>
      <c r="BR510" s="261"/>
      <c r="BS510" s="261"/>
      <c r="BT510" s="261"/>
      <c r="BU510" s="261"/>
      <c r="BV510" s="261"/>
      <c r="BW510" s="261"/>
    </row>
    <row r="511" spans="2:75">
      <c r="B511" s="230"/>
      <c r="C511" s="230"/>
      <c r="D511" s="230"/>
      <c r="E511" s="230"/>
      <c r="F511" s="230"/>
      <c r="G511" s="230"/>
      <c r="H511" s="230"/>
      <c r="I511" s="230"/>
      <c r="J511" s="230"/>
      <c r="K511" s="230"/>
      <c r="L511" s="230"/>
      <c r="M511" s="230"/>
      <c r="N511" s="315"/>
      <c r="O511" s="315"/>
      <c r="P511" s="315"/>
      <c r="Q511" s="315"/>
      <c r="R511" s="315"/>
      <c r="S511" s="315"/>
      <c r="T511" s="315"/>
      <c r="U511" s="315"/>
      <c r="V511" s="315"/>
      <c r="W511" s="315"/>
      <c r="X511" s="315"/>
      <c r="Y511" s="315"/>
      <c r="Z511" s="315"/>
      <c r="AA511" s="315"/>
      <c r="AB511" s="315"/>
      <c r="AC511" s="315"/>
      <c r="AD511" s="315"/>
      <c r="AE511" s="315"/>
      <c r="AF511" s="315"/>
      <c r="AG511" s="315"/>
      <c r="AH511" s="315"/>
      <c r="AI511" s="315"/>
      <c r="AJ511" s="315"/>
      <c r="AK511" s="315"/>
      <c r="AL511" s="315"/>
      <c r="AM511" s="315"/>
      <c r="AN511" s="315"/>
      <c r="AO511" s="315"/>
      <c r="AP511" s="315"/>
      <c r="AQ511" s="319"/>
      <c r="AR511" s="319"/>
      <c r="AS511" s="319"/>
      <c r="AT511" s="319"/>
      <c r="AU511" s="319"/>
      <c r="AV511" s="319"/>
      <c r="AW511" s="319"/>
      <c r="AX511" s="319"/>
      <c r="AY511" s="319"/>
      <c r="AZ511" s="319"/>
      <c r="BA511" s="319"/>
      <c r="BB511" s="319"/>
      <c r="BC511" s="319"/>
      <c r="BD511" s="319"/>
      <c r="BE511" s="319"/>
      <c r="BF511" s="319"/>
      <c r="BG511" s="319"/>
      <c r="BH511" s="319"/>
      <c r="BI511" s="261"/>
      <c r="BJ511" s="261"/>
      <c r="BK511" s="261"/>
      <c r="BL511" s="261"/>
      <c r="BM511" s="261"/>
      <c r="BN511" s="261"/>
      <c r="BO511" s="261"/>
      <c r="BP511" s="261"/>
      <c r="BQ511" s="261"/>
      <c r="BR511" s="261"/>
      <c r="BS511" s="261"/>
      <c r="BT511" s="261"/>
      <c r="BU511" s="261"/>
      <c r="BV511" s="261"/>
      <c r="BW511" s="261"/>
    </row>
    <row r="512" spans="2:75">
      <c r="B512" s="230"/>
      <c r="C512" s="230"/>
      <c r="D512" s="230"/>
      <c r="E512" s="230"/>
      <c r="F512" s="230"/>
      <c r="G512" s="230"/>
      <c r="H512" s="230"/>
      <c r="I512" s="230"/>
      <c r="J512" s="230"/>
      <c r="K512" s="230"/>
      <c r="L512" s="230"/>
      <c r="M512" s="230"/>
      <c r="N512" s="315"/>
      <c r="O512" s="315"/>
      <c r="P512" s="315"/>
      <c r="Q512" s="315"/>
      <c r="R512" s="315"/>
      <c r="S512" s="315"/>
      <c r="T512" s="315"/>
      <c r="U512" s="315"/>
      <c r="V512" s="315"/>
      <c r="W512" s="315"/>
      <c r="X512" s="315"/>
      <c r="Y512" s="315"/>
      <c r="Z512" s="315"/>
      <c r="AA512" s="315"/>
      <c r="AB512" s="315"/>
      <c r="AC512" s="315"/>
      <c r="AD512" s="315"/>
      <c r="AE512" s="315"/>
      <c r="AF512" s="315"/>
      <c r="AG512" s="315"/>
      <c r="AH512" s="315"/>
      <c r="AI512" s="315"/>
      <c r="AJ512" s="315"/>
      <c r="AK512" s="315"/>
      <c r="AL512" s="315"/>
      <c r="AM512" s="315"/>
      <c r="AN512" s="315"/>
      <c r="AO512" s="315"/>
      <c r="AP512" s="315"/>
      <c r="AQ512" s="319"/>
      <c r="AR512" s="319"/>
      <c r="AS512" s="319"/>
      <c r="AT512" s="319"/>
      <c r="AU512" s="319"/>
      <c r="AV512" s="319"/>
      <c r="AW512" s="319"/>
      <c r="AX512" s="319"/>
      <c r="AY512" s="319"/>
      <c r="AZ512" s="319"/>
      <c r="BA512" s="319"/>
      <c r="BB512" s="319"/>
      <c r="BC512" s="319"/>
      <c r="BD512" s="319"/>
      <c r="BE512" s="319"/>
      <c r="BF512" s="319"/>
      <c r="BG512" s="319"/>
      <c r="BH512" s="319"/>
      <c r="BI512" s="261"/>
      <c r="BJ512" s="261"/>
      <c r="BK512" s="261"/>
      <c r="BL512" s="261"/>
      <c r="BM512" s="261"/>
      <c r="BN512" s="261"/>
      <c r="BO512" s="261"/>
      <c r="BP512" s="261"/>
      <c r="BQ512" s="261"/>
      <c r="BR512" s="261"/>
      <c r="BS512" s="261"/>
      <c r="BT512" s="261"/>
      <c r="BU512" s="261"/>
      <c r="BV512" s="261"/>
      <c r="BW512" s="261"/>
    </row>
    <row r="513" spans="2:75">
      <c r="B513" s="230"/>
      <c r="C513" s="230"/>
      <c r="D513" s="230"/>
      <c r="E513" s="230"/>
      <c r="F513" s="230"/>
      <c r="G513" s="230"/>
      <c r="H513" s="230"/>
      <c r="I513" s="230"/>
      <c r="J513" s="230"/>
      <c r="K513" s="230"/>
      <c r="L513" s="230"/>
      <c r="M513" s="230"/>
      <c r="N513" s="315"/>
      <c r="O513" s="315"/>
      <c r="P513" s="315"/>
      <c r="Q513" s="315"/>
      <c r="R513" s="315"/>
      <c r="S513" s="315"/>
      <c r="T513" s="315"/>
      <c r="U513" s="315"/>
      <c r="V513" s="315"/>
      <c r="W513" s="315"/>
      <c r="X513" s="315"/>
      <c r="Y513" s="315"/>
      <c r="Z513" s="315"/>
      <c r="AA513" s="315"/>
      <c r="AB513" s="315"/>
      <c r="AC513" s="315"/>
      <c r="AD513" s="315"/>
      <c r="AE513" s="315"/>
      <c r="AF513" s="315"/>
      <c r="AG513" s="315"/>
      <c r="AH513" s="315"/>
      <c r="AI513" s="315"/>
      <c r="AJ513" s="315"/>
      <c r="AK513" s="315"/>
      <c r="AL513" s="315"/>
      <c r="AM513" s="315"/>
      <c r="AN513" s="315"/>
      <c r="AO513" s="315"/>
      <c r="AP513" s="315"/>
      <c r="AQ513" s="319"/>
      <c r="AR513" s="319"/>
      <c r="AS513" s="319"/>
      <c r="AT513" s="319"/>
      <c r="AU513" s="319"/>
      <c r="AV513" s="319"/>
      <c r="AW513" s="319"/>
      <c r="AX513" s="319"/>
      <c r="AY513" s="319"/>
      <c r="AZ513" s="319"/>
      <c r="BA513" s="319"/>
      <c r="BB513" s="319"/>
      <c r="BC513" s="319"/>
      <c r="BD513" s="319"/>
      <c r="BE513" s="319"/>
      <c r="BF513" s="319"/>
      <c r="BG513" s="319"/>
      <c r="BH513" s="319"/>
      <c r="BI513" s="261"/>
      <c r="BJ513" s="261"/>
      <c r="BK513" s="261"/>
      <c r="BL513" s="261"/>
      <c r="BM513" s="261"/>
      <c r="BN513" s="261"/>
      <c r="BO513" s="261"/>
      <c r="BP513" s="261"/>
      <c r="BQ513" s="261"/>
      <c r="BR513" s="261"/>
      <c r="BS513" s="261"/>
      <c r="BT513" s="261"/>
      <c r="BU513" s="261"/>
      <c r="BV513" s="261"/>
      <c r="BW513" s="261"/>
    </row>
    <row r="514" spans="2:75">
      <c r="B514" s="230"/>
      <c r="C514" s="230"/>
      <c r="D514" s="230"/>
      <c r="E514" s="230"/>
      <c r="F514" s="230"/>
      <c r="G514" s="230"/>
      <c r="H514" s="230"/>
      <c r="I514" s="230"/>
      <c r="J514" s="230"/>
      <c r="K514" s="230"/>
      <c r="L514" s="230"/>
      <c r="M514" s="230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  <c r="AC514" s="315"/>
      <c r="AD514" s="315"/>
      <c r="AE514" s="315"/>
      <c r="AF514" s="315"/>
      <c r="AG514" s="315"/>
      <c r="AH514" s="315"/>
      <c r="AI514" s="315"/>
      <c r="AJ514" s="315"/>
      <c r="AK514" s="315"/>
      <c r="AL514" s="315"/>
      <c r="AM514" s="315"/>
      <c r="AN514" s="315"/>
      <c r="AO514" s="315"/>
      <c r="AP514" s="315"/>
      <c r="AQ514" s="319"/>
      <c r="AR514" s="319"/>
      <c r="AS514" s="319"/>
      <c r="AT514" s="319"/>
      <c r="AU514" s="319"/>
      <c r="AV514" s="319"/>
      <c r="AW514" s="319"/>
      <c r="AX514" s="319"/>
      <c r="AY514" s="319"/>
      <c r="AZ514" s="319"/>
      <c r="BA514" s="319"/>
      <c r="BB514" s="319"/>
      <c r="BC514" s="319"/>
      <c r="BD514" s="319"/>
      <c r="BE514" s="319"/>
      <c r="BF514" s="319"/>
      <c r="BG514" s="319"/>
      <c r="BH514" s="319"/>
      <c r="BI514" s="261"/>
      <c r="BJ514" s="261"/>
      <c r="BK514" s="261"/>
      <c r="BL514" s="261"/>
      <c r="BM514" s="261"/>
      <c r="BN514" s="261"/>
      <c r="BO514" s="261"/>
      <c r="BP514" s="261"/>
      <c r="BQ514" s="261"/>
      <c r="BR514" s="261"/>
      <c r="BS514" s="261"/>
      <c r="BT514" s="261"/>
      <c r="BU514" s="261"/>
      <c r="BV514" s="261"/>
      <c r="BW514" s="261"/>
    </row>
    <row r="515" spans="2:75">
      <c r="B515" s="230"/>
      <c r="C515" s="230"/>
      <c r="D515" s="230"/>
      <c r="E515" s="230"/>
      <c r="F515" s="230"/>
      <c r="G515" s="230"/>
      <c r="H515" s="230"/>
      <c r="I515" s="230"/>
      <c r="J515" s="230"/>
      <c r="K515" s="230"/>
      <c r="L515" s="230"/>
      <c r="M515" s="230"/>
      <c r="N515" s="315"/>
      <c r="O515" s="315"/>
      <c r="P515" s="315"/>
      <c r="Q515" s="315"/>
      <c r="R515" s="315"/>
      <c r="S515" s="315"/>
      <c r="T515" s="315"/>
      <c r="U515" s="315"/>
      <c r="V515" s="315"/>
      <c r="W515" s="315"/>
      <c r="X515" s="315"/>
      <c r="Y515" s="315"/>
      <c r="Z515" s="315"/>
      <c r="AA515" s="315"/>
      <c r="AB515" s="315"/>
      <c r="AC515" s="315"/>
      <c r="AD515" s="315"/>
      <c r="AE515" s="315"/>
      <c r="AF515" s="315"/>
      <c r="AG515" s="315"/>
      <c r="AH515" s="315"/>
      <c r="AI515" s="315"/>
      <c r="AJ515" s="315"/>
      <c r="AK515" s="315"/>
      <c r="AL515" s="315"/>
      <c r="AM515" s="315"/>
      <c r="AN515" s="315"/>
      <c r="AO515" s="315"/>
      <c r="AP515" s="315"/>
      <c r="AQ515" s="319"/>
      <c r="AR515" s="319"/>
      <c r="AS515" s="319"/>
      <c r="AT515" s="319"/>
      <c r="AU515" s="319"/>
      <c r="AV515" s="319"/>
      <c r="AW515" s="319"/>
      <c r="AX515" s="319"/>
      <c r="AY515" s="319"/>
      <c r="AZ515" s="319"/>
      <c r="BA515" s="319"/>
      <c r="BB515" s="319"/>
      <c r="BC515" s="319"/>
      <c r="BD515" s="319"/>
      <c r="BE515" s="319"/>
      <c r="BF515" s="319"/>
      <c r="BG515" s="319"/>
      <c r="BH515" s="319"/>
      <c r="BI515" s="261"/>
      <c r="BJ515" s="261"/>
      <c r="BK515" s="261"/>
      <c r="BL515" s="261"/>
      <c r="BM515" s="261"/>
      <c r="BN515" s="261"/>
      <c r="BO515" s="261"/>
      <c r="BP515" s="261"/>
      <c r="BQ515" s="261"/>
      <c r="BR515" s="261"/>
      <c r="BS515" s="261"/>
      <c r="BT515" s="261"/>
      <c r="BU515" s="261"/>
      <c r="BV515" s="261"/>
      <c r="BW515" s="261"/>
    </row>
    <row r="516" spans="2:75">
      <c r="B516" s="230"/>
      <c r="C516" s="230"/>
      <c r="D516" s="230"/>
      <c r="E516" s="230"/>
      <c r="F516" s="230"/>
      <c r="G516" s="230"/>
      <c r="H516" s="230"/>
      <c r="I516" s="230"/>
      <c r="J516" s="230"/>
      <c r="K516" s="230"/>
      <c r="L516" s="230"/>
      <c r="M516" s="230"/>
      <c r="N516" s="315"/>
      <c r="O516" s="315"/>
      <c r="P516" s="315"/>
      <c r="Q516" s="315"/>
      <c r="R516" s="315"/>
      <c r="S516" s="315"/>
      <c r="T516" s="315"/>
      <c r="U516" s="315"/>
      <c r="V516" s="315"/>
      <c r="W516" s="315"/>
      <c r="X516" s="315"/>
      <c r="Y516" s="315"/>
      <c r="Z516" s="315"/>
      <c r="AA516" s="315"/>
      <c r="AB516" s="315"/>
      <c r="AC516" s="315"/>
      <c r="AD516" s="315"/>
      <c r="AE516" s="315"/>
      <c r="AF516" s="315"/>
      <c r="AG516" s="315"/>
      <c r="AH516" s="315"/>
      <c r="AI516" s="315"/>
      <c r="AJ516" s="315"/>
      <c r="AK516" s="315"/>
      <c r="AL516" s="315"/>
      <c r="AM516" s="315"/>
      <c r="AN516" s="315"/>
      <c r="AO516" s="315"/>
      <c r="AP516" s="315"/>
      <c r="AQ516" s="319"/>
      <c r="AR516" s="319"/>
      <c r="AS516" s="319"/>
      <c r="AT516" s="319"/>
      <c r="AU516" s="319"/>
      <c r="AV516" s="319"/>
      <c r="AW516" s="319"/>
      <c r="AX516" s="319"/>
      <c r="AY516" s="319"/>
      <c r="AZ516" s="319"/>
      <c r="BA516" s="319"/>
      <c r="BB516" s="319"/>
      <c r="BC516" s="319"/>
      <c r="BD516" s="319"/>
      <c r="BE516" s="319"/>
      <c r="BF516" s="319"/>
      <c r="BG516" s="319"/>
      <c r="BH516" s="319"/>
      <c r="BI516" s="261"/>
      <c r="BJ516" s="261"/>
      <c r="BK516" s="261"/>
      <c r="BL516" s="261"/>
      <c r="BM516" s="261"/>
      <c r="BN516" s="261"/>
      <c r="BO516" s="261"/>
      <c r="BP516" s="261"/>
      <c r="BQ516" s="261"/>
      <c r="BR516" s="261"/>
      <c r="BS516" s="261"/>
      <c r="BT516" s="261"/>
      <c r="BU516" s="261"/>
      <c r="BV516" s="261"/>
      <c r="BW516" s="261"/>
    </row>
    <row r="517" spans="2:75">
      <c r="B517" s="230"/>
      <c r="C517" s="230"/>
      <c r="D517" s="230"/>
      <c r="E517" s="230"/>
      <c r="F517" s="230"/>
      <c r="G517" s="230"/>
      <c r="H517" s="230"/>
      <c r="I517" s="230"/>
      <c r="J517" s="230"/>
      <c r="K517" s="230"/>
      <c r="L517" s="230"/>
      <c r="M517" s="230"/>
      <c r="N517" s="315"/>
      <c r="O517" s="315"/>
      <c r="P517" s="315"/>
      <c r="Q517" s="315"/>
      <c r="R517" s="315"/>
      <c r="S517" s="315"/>
      <c r="T517" s="315"/>
      <c r="U517" s="315"/>
      <c r="V517" s="315"/>
      <c r="W517" s="315"/>
      <c r="X517" s="315"/>
      <c r="Y517" s="315"/>
      <c r="Z517" s="315"/>
      <c r="AA517" s="315"/>
      <c r="AB517" s="315"/>
      <c r="AC517" s="315"/>
      <c r="AD517" s="315"/>
      <c r="AE517" s="315"/>
      <c r="AF517" s="315"/>
      <c r="AG517" s="315"/>
      <c r="AH517" s="315"/>
      <c r="AI517" s="315"/>
      <c r="AJ517" s="315"/>
      <c r="AK517" s="315"/>
      <c r="AL517" s="315"/>
      <c r="AM517" s="315"/>
      <c r="AN517" s="315"/>
      <c r="AO517" s="315"/>
      <c r="AP517" s="315"/>
      <c r="AQ517" s="319"/>
      <c r="AR517" s="319"/>
      <c r="AS517" s="319"/>
      <c r="AT517" s="319"/>
      <c r="AU517" s="319"/>
      <c r="AV517" s="319"/>
      <c r="AW517" s="319"/>
      <c r="AX517" s="319"/>
      <c r="AY517" s="319"/>
      <c r="AZ517" s="319"/>
      <c r="BA517" s="319"/>
      <c r="BB517" s="319"/>
      <c r="BC517" s="319"/>
      <c r="BD517" s="319"/>
      <c r="BE517" s="319"/>
      <c r="BF517" s="319"/>
      <c r="BG517" s="319"/>
      <c r="BH517" s="319"/>
      <c r="BI517" s="261"/>
      <c r="BJ517" s="261"/>
      <c r="BK517" s="261"/>
      <c r="BL517" s="261"/>
      <c r="BM517" s="261"/>
      <c r="BN517" s="261"/>
      <c r="BO517" s="261"/>
      <c r="BP517" s="261"/>
      <c r="BQ517" s="261"/>
      <c r="BR517" s="261"/>
      <c r="BS517" s="261"/>
      <c r="BT517" s="261"/>
      <c r="BU517" s="261"/>
      <c r="BV517" s="261"/>
      <c r="BW517" s="261"/>
    </row>
    <row r="518" spans="2:75">
      <c r="B518" s="230"/>
      <c r="C518" s="230"/>
      <c r="D518" s="230"/>
      <c r="E518" s="230"/>
      <c r="F518" s="230"/>
      <c r="G518" s="230"/>
      <c r="H518" s="230"/>
      <c r="I518" s="230"/>
      <c r="J518" s="230"/>
      <c r="K518" s="230"/>
      <c r="L518" s="230"/>
      <c r="M518" s="230"/>
      <c r="N518" s="315"/>
      <c r="O518" s="315"/>
      <c r="P518" s="315"/>
      <c r="Q518" s="315"/>
      <c r="R518" s="315"/>
      <c r="S518" s="315"/>
      <c r="T518" s="315"/>
      <c r="U518" s="315"/>
      <c r="V518" s="315"/>
      <c r="W518" s="315"/>
      <c r="X518" s="315"/>
      <c r="Y518" s="315"/>
      <c r="Z518" s="315"/>
      <c r="AA518" s="315"/>
      <c r="AB518" s="315"/>
      <c r="AC518" s="315"/>
      <c r="AD518" s="315"/>
      <c r="AE518" s="315"/>
      <c r="AF518" s="315"/>
      <c r="AG518" s="315"/>
      <c r="AH518" s="315"/>
      <c r="AI518" s="315"/>
      <c r="AJ518" s="315"/>
      <c r="AK518" s="315"/>
      <c r="AL518" s="315"/>
      <c r="AM518" s="315"/>
      <c r="AN518" s="315"/>
      <c r="AO518" s="315"/>
      <c r="AP518" s="315"/>
      <c r="AQ518" s="319"/>
      <c r="AR518" s="319"/>
      <c r="AS518" s="319"/>
      <c r="AT518" s="319"/>
      <c r="AU518" s="319"/>
      <c r="AV518" s="319"/>
      <c r="AW518" s="319"/>
      <c r="AX518" s="319"/>
      <c r="AY518" s="319"/>
      <c r="AZ518" s="319"/>
      <c r="BA518" s="319"/>
      <c r="BB518" s="319"/>
      <c r="BC518" s="319"/>
      <c r="BD518" s="319"/>
      <c r="BE518" s="319"/>
      <c r="BF518" s="319"/>
      <c r="BG518" s="319"/>
      <c r="BH518" s="319"/>
      <c r="BI518" s="261"/>
      <c r="BJ518" s="261"/>
      <c r="BK518" s="261"/>
      <c r="BL518" s="261"/>
      <c r="BM518" s="261"/>
      <c r="BN518" s="261"/>
      <c r="BO518" s="261"/>
      <c r="BP518" s="261"/>
      <c r="BQ518" s="261"/>
      <c r="BR518" s="261"/>
      <c r="BS518" s="261"/>
      <c r="BT518" s="261"/>
      <c r="BU518" s="261"/>
      <c r="BV518" s="261"/>
      <c r="BW518" s="261"/>
    </row>
    <row r="519" spans="2:75">
      <c r="B519" s="230"/>
      <c r="C519" s="230"/>
      <c r="D519" s="230"/>
      <c r="E519" s="230"/>
      <c r="F519" s="230"/>
      <c r="G519" s="230"/>
      <c r="H519" s="230"/>
      <c r="I519" s="230"/>
      <c r="J519" s="230"/>
      <c r="K519" s="230"/>
      <c r="L519" s="230"/>
      <c r="M519" s="230"/>
      <c r="N519" s="315"/>
      <c r="O519" s="315"/>
      <c r="P519" s="315"/>
      <c r="Q519" s="315"/>
      <c r="R519" s="315"/>
      <c r="S519" s="315"/>
      <c r="T519" s="315"/>
      <c r="U519" s="315"/>
      <c r="V519" s="315"/>
      <c r="W519" s="315"/>
      <c r="X519" s="315"/>
      <c r="Y519" s="315"/>
      <c r="Z519" s="315"/>
      <c r="AA519" s="315"/>
      <c r="AB519" s="315"/>
      <c r="AC519" s="315"/>
      <c r="AD519" s="315"/>
      <c r="AE519" s="315"/>
      <c r="AF519" s="315"/>
      <c r="AG519" s="315"/>
      <c r="AH519" s="315"/>
      <c r="AI519" s="315"/>
      <c r="AJ519" s="315"/>
      <c r="AK519" s="315"/>
      <c r="AL519" s="315"/>
      <c r="AM519" s="315"/>
      <c r="AN519" s="315"/>
      <c r="AO519" s="315"/>
      <c r="AP519" s="315"/>
      <c r="AQ519" s="319"/>
      <c r="AR519" s="319"/>
      <c r="AS519" s="319"/>
      <c r="AT519" s="319"/>
      <c r="AU519" s="319"/>
      <c r="AV519" s="319"/>
      <c r="AW519" s="319"/>
      <c r="AX519" s="319"/>
      <c r="AY519" s="319"/>
      <c r="AZ519" s="319"/>
      <c r="BA519" s="319"/>
      <c r="BB519" s="319"/>
      <c r="BC519" s="319"/>
      <c r="BD519" s="319"/>
      <c r="BE519" s="319"/>
      <c r="BF519" s="319"/>
      <c r="BG519" s="319"/>
      <c r="BH519" s="319"/>
      <c r="BI519" s="261"/>
      <c r="BJ519" s="261"/>
      <c r="BK519" s="261"/>
      <c r="BL519" s="261"/>
      <c r="BM519" s="261"/>
      <c r="BN519" s="261"/>
      <c r="BO519" s="261"/>
      <c r="BP519" s="261"/>
      <c r="BQ519" s="261"/>
      <c r="BR519" s="261"/>
      <c r="BS519" s="261"/>
      <c r="BT519" s="261"/>
      <c r="BU519" s="261"/>
      <c r="BV519" s="261"/>
      <c r="BW519" s="261"/>
    </row>
    <row r="520" spans="2:75">
      <c r="B520" s="230"/>
      <c r="C520" s="230"/>
      <c r="D520" s="230"/>
      <c r="E520" s="230"/>
      <c r="F520" s="230"/>
      <c r="G520" s="230"/>
      <c r="H520" s="230"/>
      <c r="I520" s="230"/>
      <c r="J520" s="230"/>
      <c r="K520" s="230"/>
      <c r="L520" s="230"/>
      <c r="M520" s="230"/>
      <c r="N520" s="315"/>
      <c r="O520" s="315"/>
      <c r="P520" s="315"/>
      <c r="Q520" s="315"/>
      <c r="R520" s="315"/>
      <c r="S520" s="315"/>
      <c r="T520" s="315"/>
      <c r="U520" s="315"/>
      <c r="V520" s="315"/>
      <c r="W520" s="315"/>
      <c r="X520" s="315"/>
      <c r="Y520" s="315"/>
      <c r="Z520" s="315"/>
      <c r="AA520" s="315"/>
      <c r="AB520" s="315"/>
      <c r="AC520" s="315"/>
      <c r="AD520" s="315"/>
      <c r="AE520" s="315"/>
      <c r="AF520" s="315"/>
      <c r="AG520" s="315"/>
      <c r="AH520" s="315"/>
      <c r="AI520" s="315"/>
      <c r="AJ520" s="315"/>
      <c r="AK520" s="315"/>
      <c r="AL520" s="315"/>
      <c r="AM520" s="315"/>
      <c r="AN520" s="315"/>
      <c r="AO520" s="315"/>
      <c r="AP520" s="315"/>
      <c r="AQ520" s="319"/>
      <c r="AR520" s="319"/>
      <c r="AS520" s="319"/>
      <c r="AT520" s="319"/>
      <c r="AU520" s="319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19"/>
      <c r="BI520" s="261"/>
      <c r="BJ520" s="261"/>
      <c r="BK520" s="261"/>
      <c r="BL520" s="261"/>
      <c r="BM520" s="261"/>
      <c r="BN520" s="261"/>
      <c r="BO520" s="261"/>
      <c r="BP520" s="261"/>
      <c r="BQ520" s="261"/>
      <c r="BR520" s="261"/>
      <c r="BS520" s="261"/>
      <c r="BT520" s="261"/>
      <c r="BU520" s="261"/>
      <c r="BV520" s="261"/>
      <c r="BW520" s="261"/>
    </row>
    <row r="521" spans="2:75">
      <c r="B521" s="230"/>
      <c r="C521" s="230"/>
      <c r="D521" s="230"/>
      <c r="E521" s="230"/>
      <c r="F521" s="230"/>
      <c r="G521" s="230"/>
      <c r="H521" s="230"/>
      <c r="I521" s="230"/>
      <c r="J521" s="230"/>
      <c r="K521" s="230"/>
      <c r="L521" s="230"/>
      <c r="M521" s="230"/>
      <c r="N521" s="315"/>
      <c r="O521" s="315"/>
      <c r="P521" s="315"/>
      <c r="Q521" s="315"/>
      <c r="R521" s="315"/>
      <c r="S521" s="315"/>
      <c r="T521" s="315"/>
      <c r="U521" s="315"/>
      <c r="V521" s="315"/>
      <c r="W521" s="315"/>
      <c r="X521" s="315"/>
      <c r="Y521" s="315"/>
      <c r="Z521" s="315"/>
      <c r="AA521" s="315"/>
      <c r="AB521" s="315"/>
      <c r="AC521" s="315"/>
      <c r="AD521" s="315"/>
      <c r="AE521" s="315"/>
      <c r="AF521" s="315"/>
      <c r="AG521" s="315"/>
      <c r="AH521" s="315"/>
      <c r="AI521" s="315"/>
      <c r="AJ521" s="315"/>
      <c r="AK521" s="315"/>
      <c r="AL521" s="315"/>
      <c r="AM521" s="315"/>
      <c r="AN521" s="315"/>
      <c r="AO521" s="315"/>
      <c r="AP521" s="315"/>
      <c r="AQ521" s="319"/>
      <c r="AR521" s="319"/>
      <c r="AS521" s="319"/>
      <c r="AT521" s="319"/>
      <c r="AU521" s="319"/>
      <c r="AV521" s="319"/>
      <c r="AW521" s="319"/>
      <c r="AX521" s="319"/>
      <c r="AY521" s="319"/>
      <c r="AZ521" s="319"/>
      <c r="BA521" s="319"/>
      <c r="BB521" s="319"/>
      <c r="BC521" s="319"/>
      <c r="BD521" s="319"/>
      <c r="BE521" s="319"/>
      <c r="BF521" s="319"/>
      <c r="BG521" s="319"/>
      <c r="BH521" s="319"/>
      <c r="BI521" s="261"/>
      <c r="BJ521" s="261"/>
      <c r="BK521" s="261"/>
      <c r="BL521" s="261"/>
      <c r="BM521" s="261"/>
      <c r="BN521" s="261"/>
      <c r="BO521" s="261"/>
      <c r="BP521" s="261"/>
      <c r="BQ521" s="261"/>
      <c r="BR521" s="261"/>
      <c r="BS521" s="261"/>
      <c r="BT521" s="261"/>
      <c r="BU521" s="261"/>
      <c r="BV521" s="261"/>
      <c r="BW521" s="261"/>
    </row>
    <row r="522" spans="2:75">
      <c r="B522" s="230"/>
      <c r="C522" s="230"/>
      <c r="D522" s="230"/>
      <c r="E522" s="230"/>
      <c r="F522" s="230"/>
      <c r="G522" s="230"/>
      <c r="H522" s="230"/>
      <c r="I522" s="230"/>
      <c r="J522" s="230"/>
      <c r="K522" s="230"/>
      <c r="L522" s="230"/>
      <c r="M522" s="230"/>
      <c r="N522" s="315"/>
      <c r="O522" s="315"/>
      <c r="P522" s="315"/>
      <c r="Q522" s="315"/>
      <c r="R522" s="315"/>
      <c r="S522" s="315"/>
      <c r="T522" s="315"/>
      <c r="U522" s="315"/>
      <c r="V522" s="315"/>
      <c r="W522" s="315"/>
      <c r="X522" s="315"/>
      <c r="Y522" s="315"/>
      <c r="Z522" s="315"/>
      <c r="AA522" s="315"/>
      <c r="AB522" s="315"/>
      <c r="AC522" s="315"/>
      <c r="AD522" s="315"/>
      <c r="AE522" s="315"/>
      <c r="AF522" s="315"/>
      <c r="AG522" s="315"/>
      <c r="AH522" s="315"/>
      <c r="AI522" s="315"/>
      <c r="AJ522" s="315"/>
      <c r="AK522" s="315"/>
      <c r="AL522" s="315"/>
      <c r="AM522" s="315"/>
      <c r="AN522" s="315"/>
      <c r="AO522" s="315"/>
      <c r="AP522" s="315"/>
      <c r="AQ522" s="319"/>
      <c r="AR522" s="319"/>
      <c r="AS522" s="319"/>
      <c r="AT522" s="319"/>
      <c r="AU522" s="319"/>
      <c r="AV522" s="319"/>
      <c r="AW522" s="319"/>
      <c r="AX522" s="319"/>
      <c r="AY522" s="319"/>
      <c r="AZ522" s="319"/>
      <c r="BA522" s="319"/>
      <c r="BB522" s="319"/>
      <c r="BC522" s="319"/>
      <c r="BD522" s="319"/>
      <c r="BE522" s="319"/>
      <c r="BF522" s="319"/>
      <c r="BG522" s="319"/>
      <c r="BH522" s="319"/>
      <c r="BI522" s="261"/>
      <c r="BJ522" s="261"/>
      <c r="BK522" s="261"/>
      <c r="BL522" s="261"/>
      <c r="BM522" s="261"/>
      <c r="BN522" s="261"/>
      <c r="BO522" s="261"/>
      <c r="BP522" s="261"/>
      <c r="BQ522" s="261"/>
      <c r="BR522" s="261"/>
      <c r="BS522" s="261"/>
      <c r="BT522" s="261"/>
      <c r="BU522" s="261"/>
      <c r="BV522" s="261"/>
      <c r="BW522" s="261"/>
    </row>
    <row r="523" spans="2:75">
      <c r="B523" s="230"/>
      <c r="C523" s="230"/>
      <c r="D523" s="230"/>
      <c r="E523" s="230"/>
      <c r="F523" s="230"/>
      <c r="G523" s="230"/>
      <c r="H523" s="230"/>
      <c r="I523" s="230"/>
      <c r="J523" s="230"/>
      <c r="K523" s="230"/>
      <c r="L523" s="230"/>
      <c r="M523" s="230"/>
      <c r="N523" s="315"/>
      <c r="O523" s="315"/>
      <c r="P523" s="315"/>
      <c r="Q523" s="315"/>
      <c r="R523" s="315"/>
      <c r="S523" s="315"/>
      <c r="T523" s="315"/>
      <c r="U523" s="315"/>
      <c r="V523" s="315"/>
      <c r="W523" s="315"/>
      <c r="X523" s="315"/>
      <c r="Y523" s="315"/>
      <c r="Z523" s="315"/>
      <c r="AA523" s="315"/>
      <c r="AB523" s="315"/>
      <c r="AC523" s="315"/>
      <c r="AD523" s="315"/>
      <c r="AE523" s="315"/>
      <c r="AF523" s="315"/>
      <c r="AG523" s="315"/>
      <c r="AH523" s="315"/>
      <c r="AI523" s="315"/>
      <c r="AJ523" s="315"/>
      <c r="AK523" s="315"/>
      <c r="AL523" s="315"/>
      <c r="AM523" s="315"/>
      <c r="AN523" s="315"/>
      <c r="AO523" s="315"/>
      <c r="AP523" s="315"/>
      <c r="AQ523" s="319"/>
      <c r="AR523" s="319"/>
      <c r="AS523" s="319"/>
      <c r="AT523" s="319"/>
      <c r="AU523" s="319"/>
      <c r="AV523" s="319"/>
      <c r="AW523" s="319"/>
      <c r="AX523" s="319"/>
      <c r="AY523" s="319"/>
      <c r="AZ523" s="319"/>
      <c r="BA523" s="319"/>
      <c r="BB523" s="319"/>
      <c r="BC523" s="319"/>
      <c r="BD523" s="319"/>
      <c r="BE523" s="319"/>
      <c r="BF523" s="319"/>
      <c r="BG523" s="319"/>
      <c r="BH523" s="319"/>
      <c r="BI523" s="261"/>
      <c r="BJ523" s="261"/>
      <c r="BK523" s="261"/>
      <c r="BL523" s="261"/>
      <c r="BM523" s="261"/>
      <c r="BN523" s="261"/>
      <c r="BO523" s="261"/>
      <c r="BP523" s="261"/>
      <c r="BQ523" s="261"/>
      <c r="BR523" s="261"/>
      <c r="BS523" s="261"/>
      <c r="BT523" s="261"/>
      <c r="BU523" s="261"/>
      <c r="BV523" s="261"/>
      <c r="BW523" s="261"/>
    </row>
    <row r="524" spans="2:75">
      <c r="B524" s="230"/>
      <c r="C524" s="230"/>
      <c r="D524" s="230"/>
      <c r="E524" s="230"/>
      <c r="F524" s="230"/>
      <c r="G524" s="230"/>
      <c r="H524" s="230"/>
      <c r="I524" s="230"/>
      <c r="J524" s="230"/>
      <c r="K524" s="230"/>
      <c r="L524" s="230"/>
      <c r="M524" s="230"/>
      <c r="N524" s="315"/>
      <c r="O524" s="315"/>
      <c r="P524" s="315"/>
      <c r="Q524" s="315"/>
      <c r="R524" s="315"/>
      <c r="S524" s="315"/>
      <c r="T524" s="315"/>
      <c r="U524" s="315"/>
      <c r="V524" s="315"/>
      <c r="W524" s="315"/>
      <c r="X524" s="315"/>
      <c r="Y524" s="315"/>
      <c r="Z524" s="315"/>
      <c r="AA524" s="315"/>
      <c r="AB524" s="315"/>
      <c r="AC524" s="315"/>
      <c r="AD524" s="315"/>
      <c r="AE524" s="315"/>
      <c r="AF524" s="315"/>
      <c r="AG524" s="315"/>
      <c r="AH524" s="315"/>
      <c r="AI524" s="315"/>
      <c r="AJ524" s="315"/>
      <c r="AK524" s="315"/>
      <c r="AL524" s="315"/>
      <c r="AM524" s="315"/>
      <c r="AN524" s="315"/>
      <c r="AO524" s="315"/>
      <c r="AP524" s="315"/>
      <c r="AQ524" s="319"/>
      <c r="AR524" s="319"/>
      <c r="AS524" s="319"/>
      <c r="AT524" s="319"/>
      <c r="AU524" s="319"/>
      <c r="AV524" s="319"/>
      <c r="AW524" s="319"/>
      <c r="AX524" s="319"/>
      <c r="AY524" s="319"/>
      <c r="AZ524" s="319"/>
      <c r="BA524" s="319"/>
      <c r="BB524" s="319"/>
      <c r="BC524" s="319"/>
      <c r="BD524" s="319"/>
      <c r="BE524" s="319"/>
      <c r="BF524" s="319"/>
      <c r="BG524" s="319"/>
      <c r="BH524" s="319"/>
      <c r="BI524" s="261"/>
      <c r="BJ524" s="261"/>
      <c r="BK524" s="261"/>
      <c r="BL524" s="261"/>
      <c r="BM524" s="261"/>
      <c r="BN524" s="261"/>
      <c r="BO524" s="261"/>
      <c r="BP524" s="261"/>
      <c r="BQ524" s="261"/>
      <c r="BR524" s="261"/>
      <c r="BS524" s="261"/>
      <c r="BT524" s="261"/>
      <c r="BU524" s="261"/>
      <c r="BV524" s="261"/>
      <c r="BW524" s="261"/>
    </row>
    <row r="525" spans="2:75">
      <c r="B525" s="230"/>
      <c r="C525" s="230"/>
      <c r="D525" s="230"/>
      <c r="E525" s="230"/>
      <c r="F525" s="230"/>
      <c r="G525" s="230"/>
      <c r="H525" s="230"/>
      <c r="I525" s="230"/>
      <c r="J525" s="230"/>
      <c r="K525" s="230"/>
      <c r="L525" s="230"/>
      <c r="M525" s="230"/>
      <c r="N525" s="315"/>
      <c r="O525" s="315"/>
      <c r="P525" s="315"/>
      <c r="Q525" s="315"/>
      <c r="R525" s="315"/>
      <c r="S525" s="315"/>
      <c r="T525" s="315"/>
      <c r="U525" s="315"/>
      <c r="V525" s="315"/>
      <c r="W525" s="315"/>
      <c r="X525" s="315"/>
      <c r="Y525" s="315"/>
      <c r="Z525" s="315"/>
      <c r="AA525" s="315"/>
      <c r="AB525" s="315"/>
      <c r="AC525" s="315"/>
      <c r="AD525" s="315"/>
      <c r="AE525" s="315"/>
      <c r="AF525" s="315"/>
      <c r="AG525" s="315"/>
      <c r="AH525" s="315"/>
      <c r="AI525" s="315"/>
      <c r="AJ525" s="315"/>
      <c r="AK525" s="315"/>
      <c r="AL525" s="315"/>
      <c r="AM525" s="315"/>
      <c r="AN525" s="315"/>
      <c r="AO525" s="315"/>
      <c r="AP525" s="315"/>
      <c r="AQ525" s="319"/>
      <c r="AR525" s="319"/>
      <c r="AS525" s="319"/>
      <c r="AT525" s="319"/>
      <c r="AU525" s="319"/>
      <c r="AV525" s="319"/>
      <c r="AW525" s="319"/>
      <c r="AX525" s="319"/>
      <c r="AY525" s="319"/>
      <c r="AZ525" s="319"/>
      <c r="BA525" s="319"/>
      <c r="BB525" s="319"/>
      <c r="BC525" s="319"/>
      <c r="BD525" s="319"/>
      <c r="BE525" s="319"/>
      <c r="BF525" s="319"/>
      <c r="BG525" s="319"/>
      <c r="BH525" s="319"/>
      <c r="BI525" s="261"/>
      <c r="BJ525" s="261"/>
      <c r="BK525" s="261"/>
      <c r="BL525" s="261"/>
      <c r="BM525" s="261"/>
      <c r="BN525" s="261"/>
      <c r="BO525" s="261"/>
      <c r="BP525" s="261"/>
      <c r="BQ525" s="261"/>
      <c r="BR525" s="261"/>
      <c r="BS525" s="261"/>
      <c r="BT525" s="261"/>
      <c r="BU525" s="261"/>
      <c r="BV525" s="261"/>
      <c r="BW525" s="261"/>
    </row>
    <row r="526" spans="2:75">
      <c r="B526" s="230"/>
      <c r="C526" s="230"/>
      <c r="D526" s="230"/>
      <c r="E526" s="230"/>
      <c r="F526" s="230"/>
      <c r="G526" s="230"/>
      <c r="H526" s="230"/>
      <c r="I526" s="230"/>
      <c r="J526" s="230"/>
      <c r="K526" s="230"/>
      <c r="L526" s="230"/>
      <c r="M526" s="230"/>
      <c r="N526" s="315"/>
      <c r="O526" s="315"/>
      <c r="P526" s="315"/>
      <c r="Q526" s="315"/>
      <c r="R526" s="315"/>
      <c r="S526" s="315"/>
      <c r="T526" s="315"/>
      <c r="U526" s="315"/>
      <c r="V526" s="315"/>
      <c r="W526" s="315"/>
      <c r="X526" s="315"/>
      <c r="Y526" s="315"/>
      <c r="Z526" s="315"/>
      <c r="AA526" s="315"/>
      <c r="AB526" s="315"/>
      <c r="AC526" s="315"/>
      <c r="AD526" s="315"/>
      <c r="AE526" s="315"/>
      <c r="AF526" s="315"/>
      <c r="AG526" s="315"/>
      <c r="AH526" s="315"/>
      <c r="AI526" s="315"/>
      <c r="AJ526" s="315"/>
      <c r="AK526" s="315"/>
      <c r="AL526" s="315"/>
      <c r="AM526" s="315"/>
      <c r="AN526" s="315"/>
      <c r="AO526" s="315"/>
      <c r="AP526" s="315"/>
      <c r="AQ526" s="319"/>
      <c r="AR526" s="319"/>
      <c r="AS526" s="319"/>
      <c r="AT526" s="319"/>
      <c r="AU526" s="319"/>
      <c r="AV526" s="319"/>
      <c r="AW526" s="319"/>
      <c r="AX526" s="319"/>
      <c r="AY526" s="319"/>
      <c r="AZ526" s="319"/>
      <c r="BA526" s="319"/>
      <c r="BB526" s="319"/>
      <c r="BC526" s="319"/>
      <c r="BD526" s="319"/>
      <c r="BE526" s="319"/>
      <c r="BF526" s="319"/>
      <c r="BG526" s="319"/>
      <c r="BH526" s="319"/>
      <c r="BI526" s="261"/>
      <c r="BJ526" s="261"/>
      <c r="BK526" s="261"/>
      <c r="BL526" s="261"/>
      <c r="BM526" s="261"/>
      <c r="BN526" s="261"/>
      <c r="BO526" s="261"/>
      <c r="BP526" s="261"/>
      <c r="BQ526" s="261"/>
      <c r="BR526" s="261"/>
      <c r="BS526" s="261"/>
      <c r="BT526" s="261"/>
      <c r="BU526" s="261"/>
      <c r="BV526" s="261"/>
      <c r="BW526" s="261"/>
    </row>
    <row r="527" spans="2:75">
      <c r="B527" s="230"/>
      <c r="C527" s="230"/>
      <c r="D527" s="230"/>
      <c r="E527" s="230"/>
      <c r="F527" s="230"/>
      <c r="G527" s="230"/>
      <c r="H527" s="230"/>
      <c r="I527" s="230"/>
      <c r="J527" s="230"/>
      <c r="K527" s="230"/>
      <c r="L527" s="230"/>
      <c r="M527" s="230"/>
      <c r="N527" s="315"/>
      <c r="O527" s="315"/>
      <c r="P527" s="315"/>
      <c r="Q527" s="315"/>
      <c r="R527" s="315"/>
      <c r="S527" s="315"/>
      <c r="T527" s="315"/>
      <c r="U527" s="315"/>
      <c r="V527" s="315"/>
      <c r="W527" s="315"/>
      <c r="X527" s="315"/>
      <c r="Y527" s="315"/>
      <c r="Z527" s="315"/>
      <c r="AA527" s="315"/>
      <c r="AB527" s="315"/>
      <c r="AC527" s="315"/>
      <c r="AD527" s="315"/>
      <c r="AE527" s="315"/>
      <c r="AF527" s="315"/>
      <c r="AG527" s="315"/>
      <c r="AH527" s="315"/>
      <c r="AI527" s="315"/>
      <c r="AJ527" s="315"/>
      <c r="AK527" s="315"/>
      <c r="AL527" s="315"/>
      <c r="AM527" s="315"/>
      <c r="AN527" s="315"/>
      <c r="AO527" s="315"/>
      <c r="AP527" s="315"/>
      <c r="AQ527" s="319"/>
      <c r="AR527" s="319"/>
      <c r="AS527" s="319"/>
      <c r="AT527" s="319"/>
      <c r="AU527" s="319"/>
      <c r="AV527" s="319"/>
      <c r="AW527" s="319"/>
      <c r="AX527" s="319"/>
      <c r="AY527" s="319"/>
      <c r="AZ527" s="319"/>
      <c r="BA527" s="319"/>
      <c r="BB527" s="319"/>
      <c r="BC527" s="319"/>
      <c r="BD527" s="319"/>
      <c r="BE527" s="319"/>
      <c r="BF527" s="319"/>
      <c r="BG527" s="319"/>
      <c r="BH527" s="319"/>
      <c r="BI527" s="261"/>
      <c r="BJ527" s="261"/>
      <c r="BK527" s="261"/>
      <c r="BL527" s="261"/>
      <c r="BM527" s="261"/>
      <c r="BN527" s="261"/>
      <c r="BO527" s="261"/>
      <c r="BP527" s="261"/>
      <c r="BQ527" s="261"/>
      <c r="BR527" s="261"/>
      <c r="BS527" s="261"/>
      <c r="BT527" s="261"/>
      <c r="BU527" s="261"/>
      <c r="BV527" s="261"/>
      <c r="BW527" s="261"/>
    </row>
    <row r="528" spans="2:75">
      <c r="B528" s="230"/>
      <c r="C528" s="230"/>
      <c r="D528" s="230"/>
      <c r="E528" s="230"/>
      <c r="F528" s="230"/>
      <c r="G528" s="230"/>
      <c r="H528" s="230"/>
      <c r="I528" s="230"/>
      <c r="J528" s="230"/>
      <c r="K528" s="230"/>
      <c r="L528" s="230"/>
      <c r="M528" s="230"/>
      <c r="N528" s="315"/>
      <c r="O528" s="315"/>
      <c r="P528" s="315"/>
      <c r="Q528" s="315"/>
      <c r="R528" s="315"/>
      <c r="S528" s="315"/>
      <c r="T528" s="315"/>
      <c r="U528" s="315"/>
      <c r="V528" s="315"/>
      <c r="W528" s="315"/>
      <c r="X528" s="315"/>
      <c r="Y528" s="315"/>
      <c r="Z528" s="315"/>
      <c r="AA528" s="315"/>
      <c r="AB528" s="315"/>
      <c r="AC528" s="315"/>
      <c r="AD528" s="315"/>
      <c r="AE528" s="315"/>
      <c r="AF528" s="315"/>
      <c r="AG528" s="315"/>
      <c r="AH528" s="315"/>
      <c r="AI528" s="315"/>
      <c r="AJ528" s="315"/>
      <c r="AK528" s="315"/>
      <c r="AL528" s="315"/>
      <c r="AM528" s="315"/>
      <c r="AN528" s="315"/>
      <c r="AO528" s="315"/>
      <c r="AP528" s="315"/>
      <c r="AQ528" s="319"/>
      <c r="AR528" s="319"/>
      <c r="AS528" s="319"/>
      <c r="AT528" s="319"/>
      <c r="AU528" s="319"/>
      <c r="AV528" s="319"/>
      <c r="AW528" s="319"/>
      <c r="AX528" s="319"/>
      <c r="AY528" s="319"/>
      <c r="AZ528" s="319"/>
      <c r="BA528" s="319"/>
      <c r="BB528" s="319"/>
      <c r="BC528" s="319"/>
      <c r="BD528" s="319"/>
      <c r="BE528" s="319"/>
      <c r="BF528" s="319"/>
      <c r="BG528" s="319"/>
      <c r="BH528" s="319"/>
      <c r="BI528" s="261"/>
      <c r="BJ528" s="261"/>
      <c r="BK528" s="261"/>
      <c r="BL528" s="261"/>
      <c r="BM528" s="261"/>
      <c r="BN528" s="261"/>
      <c r="BO528" s="261"/>
      <c r="BP528" s="261"/>
      <c r="BQ528" s="261"/>
      <c r="BR528" s="261"/>
      <c r="BS528" s="261"/>
      <c r="BT528" s="261"/>
      <c r="BU528" s="261"/>
      <c r="BV528" s="261"/>
      <c r="BW528" s="261"/>
    </row>
    <row r="529" spans="2:75">
      <c r="B529" s="230"/>
      <c r="C529" s="230"/>
      <c r="D529" s="230"/>
      <c r="E529" s="230"/>
      <c r="F529" s="230"/>
      <c r="G529" s="230"/>
      <c r="H529" s="230"/>
      <c r="I529" s="230"/>
      <c r="J529" s="230"/>
      <c r="K529" s="230"/>
      <c r="L529" s="230"/>
      <c r="M529" s="230"/>
      <c r="N529" s="315"/>
      <c r="O529" s="315"/>
      <c r="P529" s="315"/>
      <c r="Q529" s="315"/>
      <c r="R529" s="315"/>
      <c r="S529" s="315"/>
      <c r="T529" s="315"/>
      <c r="U529" s="315"/>
      <c r="V529" s="315"/>
      <c r="W529" s="315"/>
      <c r="X529" s="315"/>
      <c r="Y529" s="315"/>
      <c r="Z529" s="315"/>
      <c r="AA529" s="315"/>
      <c r="AB529" s="315"/>
      <c r="AC529" s="315"/>
      <c r="AD529" s="315"/>
      <c r="AE529" s="315"/>
      <c r="AF529" s="315"/>
      <c r="AG529" s="315"/>
      <c r="AH529" s="315"/>
      <c r="AI529" s="315"/>
      <c r="AJ529" s="315"/>
      <c r="AK529" s="315"/>
      <c r="AL529" s="315"/>
      <c r="AM529" s="315"/>
      <c r="AN529" s="315"/>
      <c r="AO529" s="315"/>
      <c r="AP529" s="315"/>
      <c r="AQ529" s="319"/>
      <c r="AR529" s="319"/>
      <c r="AS529" s="319"/>
      <c r="AT529" s="319"/>
      <c r="AU529" s="319"/>
      <c r="AV529" s="319"/>
      <c r="AW529" s="319"/>
      <c r="AX529" s="319"/>
      <c r="AY529" s="319"/>
      <c r="AZ529" s="319"/>
      <c r="BA529" s="319"/>
      <c r="BB529" s="319"/>
      <c r="BC529" s="319"/>
      <c r="BD529" s="319"/>
      <c r="BE529" s="319"/>
      <c r="BF529" s="319"/>
      <c r="BG529" s="319"/>
      <c r="BH529" s="319"/>
      <c r="BI529" s="261"/>
      <c r="BJ529" s="261"/>
      <c r="BK529" s="261"/>
      <c r="BL529" s="261"/>
      <c r="BM529" s="261"/>
      <c r="BN529" s="261"/>
      <c r="BO529" s="261"/>
      <c r="BP529" s="261"/>
      <c r="BQ529" s="261"/>
      <c r="BR529" s="261"/>
      <c r="BS529" s="261"/>
      <c r="BT529" s="261"/>
      <c r="BU529" s="261"/>
      <c r="BV529" s="261"/>
      <c r="BW529" s="261"/>
    </row>
    <row r="530" spans="2:75">
      <c r="B530" s="230"/>
      <c r="C530" s="230"/>
      <c r="D530" s="230"/>
      <c r="E530" s="230"/>
      <c r="F530" s="230"/>
      <c r="G530" s="230"/>
      <c r="H530" s="230"/>
      <c r="I530" s="230"/>
      <c r="J530" s="230"/>
      <c r="K530" s="230"/>
      <c r="L530" s="230"/>
      <c r="M530" s="230"/>
      <c r="N530" s="315"/>
      <c r="O530" s="315"/>
      <c r="P530" s="315"/>
      <c r="Q530" s="315"/>
      <c r="R530" s="315"/>
      <c r="S530" s="315"/>
      <c r="T530" s="315"/>
      <c r="U530" s="315"/>
      <c r="V530" s="315"/>
      <c r="W530" s="315"/>
      <c r="X530" s="315"/>
      <c r="Y530" s="315"/>
      <c r="Z530" s="315"/>
      <c r="AA530" s="315"/>
      <c r="AB530" s="315"/>
      <c r="AC530" s="315"/>
      <c r="AD530" s="315"/>
      <c r="AE530" s="315"/>
      <c r="AF530" s="315"/>
      <c r="AG530" s="315"/>
      <c r="AH530" s="315"/>
      <c r="AI530" s="315"/>
      <c r="AJ530" s="315"/>
      <c r="AK530" s="315"/>
      <c r="AL530" s="315"/>
      <c r="AM530" s="315"/>
      <c r="AN530" s="315"/>
      <c r="AO530" s="315"/>
      <c r="AP530" s="315"/>
      <c r="AQ530" s="319"/>
      <c r="AR530" s="319"/>
      <c r="AS530" s="319"/>
      <c r="AT530" s="319"/>
      <c r="AU530" s="319"/>
      <c r="AV530" s="319"/>
      <c r="AW530" s="319"/>
      <c r="AX530" s="319"/>
      <c r="AY530" s="319"/>
      <c r="AZ530" s="319"/>
      <c r="BA530" s="319"/>
      <c r="BB530" s="319"/>
      <c r="BC530" s="319"/>
      <c r="BD530" s="319"/>
      <c r="BE530" s="319"/>
      <c r="BF530" s="319"/>
      <c r="BG530" s="319"/>
      <c r="BH530" s="319"/>
      <c r="BI530" s="261"/>
      <c r="BJ530" s="261"/>
      <c r="BK530" s="261"/>
      <c r="BL530" s="261"/>
      <c r="BM530" s="261"/>
      <c r="BN530" s="261"/>
      <c r="BO530" s="261"/>
      <c r="BP530" s="261"/>
      <c r="BQ530" s="261"/>
      <c r="BR530" s="261"/>
      <c r="BS530" s="261"/>
      <c r="BT530" s="261"/>
      <c r="BU530" s="261"/>
      <c r="BV530" s="261"/>
      <c r="BW530" s="261"/>
    </row>
    <row r="531" spans="2:75">
      <c r="B531" s="230"/>
      <c r="C531" s="230"/>
      <c r="D531" s="230"/>
      <c r="E531" s="230"/>
      <c r="F531" s="230"/>
      <c r="G531" s="230"/>
      <c r="H531" s="230"/>
      <c r="I531" s="230"/>
      <c r="J531" s="230"/>
      <c r="K531" s="230"/>
      <c r="L531" s="230"/>
      <c r="M531" s="230"/>
      <c r="N531" s="315"/>
      <c r="O531" s="315"/>
      <c r="P531" s="315"/>
      <c r="Q531" s="315"/>
      <c r="R531" s="315"/>
      <c r="S531" s="315"/>
      <c r="T531" s="315"/>
      <c r="U531" s="315"/>
      <c r="V531" s="315"/>
      <c r="W531" s="315"/>
      <c r="X531" s="315"/>
      <c r="Y531" s="315"/>
      <c r="Z531" s="315"/>
      <c r="AA531" s="315"/>
      <c r="AB531" s="315"/>
      <c r="AC531" s="315"/>
      <c r="AD531" s="315"/>
      <c r="AE531" s="315"/>
      <c r="AF531" s="315"/>
      <c r="AG531" s="315"/>
      <c r="AH531" s="315"/>
      <c r="AI531" s="315"/>
      <c r="AJ531" s="315"/>
      <c r="AK531" s="315"/>
      <c r="AL531" s="315"/>
      <c r="AM531" s="315"/>
      <c r="AN531" s="315"/>
      <c r="AO531" s="315"/>
      <c r="AP531" s="315"/>
      <c r="AQ531" s="319"/>
      <c r="AR531" s="319"/>
      <c r="AS531" s="319"/>
      <c r="AT531" s="319"/>
      <c r="AU531" s="319"/>
      <c r="AV531" s="319"/>
      <c r="AW531" s="319"/>
      <c r="AX531" s="319"/>
      <c r="AY531" s="319"/>
      <c r="AZ531" s="319"/>
      <c r="BA531" s="319"/>
      <c r="BB531" s="319"/>
      <c r="BC531" s="319"/>
      <c r="BD531" s="319"/>
      <c r="BE531" s="319"/>
      <c r="BF531" s="319"/>
      <c r="BG531" s="319"/>
      <c r="BH531" s="319"/>
      <c r="BI531" s="261"/>
      <c r="BJ531" s="261"/>
      <c r="BK531" s="261"/>
      <c r="BL531" s="261"/>
      <c r="BM531" s="261"/>
      <c r="BN531" s="261"/>
      <c r="BO531" s="261"/>
      <c r="BP531" s="261"/>
      <c r="BQ531" s="261"/>
      <c r="BR531" s="261"/>
      <c r="BS531" s="261"/>
      <c r="BT531" s="261"/>
      <c r="BU531" s="261"/>
      <c r="BV531" s="261"/>
      <c r="BW531" s="261"/>
    </row>
    <row r="532" spans="2:75">
      <c r="B532" s="230"/>
      <c r="C532" s="230"/>
      <c r="D532" s="230"/>
      <c r="E532" s="230"/>
      <c r="F532" s="230"/>
      <c r="G532" s="230"/>
      <c r="H532" s="230"/>
      <c r="I532" s="230"/>
      <c r="J532" s="230"/>
      <c r="K532" s="230"/>
      <c r="L532" s="230"/>
      <c r="M532" s="230"/>
      <c r="N532" s="315"/>
      <c r="O532" s="315"/>
      <c r="P532" s="315"/>
      <c r="Q532" s="315"/>
      <c r="R532" s="315"/>
      <c r="S532" s="315"/>
      <c r="T532" s="315"/>
      <c r="U532" s="315"/>
      <c r="V532" s="315"/>
      <c r="W532" s="315"/>
      <c r="X532" s="315"/>
      <c r="Y532" s="315"/>
      <c r="Z532" s="315"/>
      <c r="AA532" s="315"/>
      <c r="AB532" s="315"/>
      <c r="AC532" s="315"/>
      <c r="AD532" s="315"/>
      <c r="AE532" s="315"/>
      <c r="AF532" s="315"/>
      <c r="AG532" s="315"/>
      <c r="AH532" s="315"/>
      <c r="AI532" s="315"/>
      <c r="AJ532" s="315"/>
      <c r="AK532" s="315"/>
      <c r="AL532" s="315"/>
      <c r="AM532" s="315"/>
      <c r="AN532" s="315"/>
      <c r="AO532" s="315"/>
      <c r="AP532" s="315"/>
      <c r="AQ532" s="319"/>
      <c r="AR532" s="319"/>
      <c r="AS532" s="319"/>
      <c r="AT532" s="319"/>
      <c r="AU532" s="319"/>
      <c r="AV532" s="319"/>
      <c r="AW532" s="319"/>
      <c r="AX532" s="319"/>
      <c r="AY532" s="319"/>
      <c r="AZ532" s="319"/>
      <c r="BA532" s="319"/>
      <c r="BB532" s="319"/>
      <c r="BC532" s="319"/>
      <c r="BD532" s="319"/>
      <c r="BE532" s="319"/>
      <c r="BF532" s="319"/>
      <c r="BG532" s="319"/>
      <c r="BH532" s="319"/>
      <c r="BI532" s="261"/>
      <c r="BJ532" s="261"/>
      <c r="BK532" s="261"/>
      <c r="BL532" s="261"/>
      <c r="BM532" s="261"/>
      <c r="BN532" s="261"/>
      <c r="BO532" s="261"/>
      <c r="BP532" s="261"/>
      <c r="BQ532" s="261"/>
      <c r="BR532" s="261"/>
      <c r="BS532" s="261"/>
      <c r="BT532" s="261"/>
      <c r="BU532" s="261"/>
      <c r="BV532" s="261"/>
      <c r="BW532" s="261"/>
    </row>
    <row r="533" spans="2:75">
      <c r="B533" s="230"/>
      <c r="C533" s="230"/>
      <c r="D533" s="230"/>
      <c r="E533" s="230"/>
      <c r="F533" s="230"/>
      <c r="G533" s="230"/>
      <c r="H533" s="230"/>
      <c r="I533" s="230"/>
      <c r="J533" s="230"/>
      <c r="K533" s="230"/>
      <c r="L533" s="230"/>
      <c r="M533" s="230"/>
      <c r="N533" s="315"/>
      <c r="O533" s="315"/>
      <c r="P533" s="315"/>
      <c r="Q533" s="315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315"/>
      <c r="AD533" s="315"/>
      <c r="AE533" s="315"/>
      <c r="AF533" s="315"/>
      <c r="AG533" s="315"/>
      <c r="AH533" s="315"/>
      <c r="AI533" s="315"/>
      <c r="AJ533" s="315"/>
      <c r="AK533" s="315"/>
      <c r="AL533" s="315"/>
      <c r="AM533" s="315"/>
      <c r="AN533" s="315"/>
      <c r="AO533" s="315"/>
      <c r="AP533" s="315"/>
      <c r="AQ533" s="319"/>
      <c r="AR533" s="319"/>
      <c r="AS533" s="319"/>
      <c r="AT533" s="319"/>
      <c r="AU533" s="319"/>
      <c r="AV533" s="319"/>
      <c r="AW533" s="261"/>
      <c r="AX533" s="261"/>
      <c r="AY533" s="261"/>
      <c r="AZ533" s="261"/>
      <c r="BA533" s="261"/>
      <c r="BB533" s="261"/>
      <c r="BC533" s="261"/>
      <c r="BD533" s="261"/>
      <c r="BE533" s="261"/>
      <c r="BF533" s="261"/>
      <c r="BG533" s="261"/>
      <c r="BH533" s="261"/>
      <c r="BI533" s="261"/>
      <c r="BJ533" s="261"/>
      <c r="BK533" s="261"/>
      <c r="BL533" s="261"/>
      <c r="BM533" s="261"/>
      <c r="BN533" s="261"/>
      <c r="BO533" s="261"/>
      <c r="BP533" s="261"/>
      <c r="BQ533" s="261"/>
      <c r="BR533" s="261"/>
      <c r="BS533" s="261"/>
      <c r="BT533" s="261"/>
      <c r="BU533" s="261"/>
      <c r="BV533" s="261"/>
      <c r="BW533" s="261"/>
    </row>
    <row r="534" spans="2:75">
      <c r="B534" s="230"/>
      <c r="C534" s="230"/>
      <c r="D534" s="230"/>
      <c r="E534" s="230"/>
      <c r="F534" s="230"/>
      <c r="G534" s="230"/>
      <c r="H534" s="230"/>
      <c r="I534" s="230"/>
      <c r="J534" s="230"/>
      <c r="K534" s="230"/>
      <c r="L534" s="230"/>
      <c r="M534" s="230"/>
      <c r="N534" s="315"/>
      <c r="O534" s="315"/>
      <c r="P534" s="315"/>
      <c r="Q534" s="315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315"/>
      <c r="AD534" s="315"/>
      <c r="AE534" s="315"/>
      <c r="AF534" s="315"/>
      <c r="AG534" s="315"/>
      <c r="AH534" s="315"/>
      <c r="AI534" s="315"/>
      <c r="AJ534" s="315"/>
      <c r="AK534" s="315"/>
      <c r="AL534" s="315"/>
      <c r="AM534" s="315"/>
      <c r="AN534" s="315"/>
      <c r="AO534" s="315"/>
      <c r="AP534" s="315"/>
      <c r="AQ534" s="319"/>
      <c r="AR534" s="319"/>
      <c r="AS534" s="319"/>
      <c r="AT534" s="319"/>
      <c r="AU534" s="319"/>
      <c r="AV534" s="319"/>
      <c r="AW534" s="261"/>
      <c r="AX534" s="261"/>
      <c r="AY534" s="261"/>
      <c r="AZ534" s="261"/>
      <c r="BA534" s="261"/>
      <c r="BB534" s="261"/>
      <c r="BC534" s="261"/>
      <c r="BD534" s="261"/>
      <c r="BE534" s="261"/>
      <c r="BF534" s="261"/>
      <c r="BG534" s="261"/>
      <c r="BH534" s="261"/>
      <c r="BI534" s="261"/>
      <c r="BJ534" s="261"/>
      <c r="BK534" s="261"/>
      <c r="BL534" s="261"/>
      <c r="BM534" s="261"/>
      <c r="BN534" s="261"/>
      <c r="BO534" s="261"/>
      <c r="BP534" s="261"/>
      <c r="BQ534" s="261"/>
      <c r="BR534" s="261"/>
      <c r="BS534" s="261"/>
      <c r="BT534" s="261"/>
      <c r="BU534" s="261"/>
      <c r="BV534" s="261"/>
      <c r="BW534" s="261"/>
    </row>
    <row r="535" spans="2:75">
      <c r="B535" s="230"/>
      <c r="C535" s="230"/>
      <c r="D535" s="230"/>
      <c r="E535" s="230"/>
      <c r="F535" s="230"/>
      <c r="G535" s="230"/>
      <c r="H535" s="230"/>
      <c r="I535" s="230"/>
      <c r="J535" s="230"/>
      <c r="K535" s="230"/>
      <c r="L535" s="230"/>
      <c r="M535" s="230"/>
      <c r="N535" s="315"/>
      <c r="O535" s="315"/>
      <c r="P535" s="315"/>
      <c r="Q535" s="315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315"/>
      <c r="AD535" s="315"/>
      <c r="AE535" s="315"/>
      <c r="AF535" s="315"/>
      <c r="AG535" s="315"/>
      <c r="AH535" s="315"/>
      <c r="AI535" s="315"/>
      <c r="AJ535" s="315"/>
      <c r="AK535" s="315"/>
      <c r="AL535" s="315"/>
      <c r="AM535" s="315"/>
      <c r="AN535" s="315"/>
      <c r="AO535" s="315"/>
      <c r="AP535" s="315"/>
      <c r="AQ535" s="319"/>
      <c r="AR535" s="319"/>
      <c r="AS535" s="319"/>
      <c r="AT535" s="319"/>
      <c r="AU535" s="319"/>
      <c r="AV535" s="319"/>
      <c r="AW535" s="261"/>
      <c r="AX535" s="261"/>
      <c r="AY535" s="261"/>
      <c r="AZ535" s="261"/>
      <c r="BA535" s="261"/>
      <c r="BB535" s="261"/>
      <c r="BC535" s="261"/>
      <c r="BD535" s="261"/>
      <c r="BE535" s="261"/>
      <c r="BF535" s="261"/>
      <c r="BG535" s="261"/>
      <c r="BH535" s="261"/>
      <c r="BI535" s="261"/>
      <c r="BJ535" s="261"/>
      <c r="BK535" s="261"/>
      <c r="BL535" s="261"/>
      <c r="BM535" s="261"/>
      <c r="BN535" s="261"/>
      <c r="BO535" s="261"/>
      <c r="BP535" s="261"/>
      <c r="BQ535" s="261"/>
      <c r="BR535" s="261"/>
      <c r="BS535" s="261"/>
      <c r="BT535" s="261"/>
      <c r="BU535" s="261"/>
      <c r="BV535" s="261"/>
      <c r="BW535" s="261"/>
    </row>
    <row r="536" spans="2:75">
      <c r="B536" s="230"/>
      <c r="C536" s="230"/>
      <c r="D536" s="230"/>
      <c r="E536" s="230"/>
      <c r="F536" s="230"/>
      <c r="G536" s="230"/>
      <c r="H536" s="230"/>
      <c r="I536" s="230"/>
      <c r="J536" s="230"/>
      <c r="K536" s="230"/>
      <c r="L536" s="230"/>
      <c r="M536" s="230"/>
      <c r="N536" s="315"/>
      <c r="O536" s="315"/>
      <c r="P536" s="315"/>
      <c r="Q536" s="315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315"/>
      <c r="AD536" s="315"/>
      <c r="AE536" s="315"/>
      <c r="AF536" s="315"/>
      <c r="AG536" s="315"/>
      <c r="AH536" s="315"/>
      <c r="AI536" s="315"/>
      <c r="AJ536" s="315"/>
      <c r="AK536" s="315"/>
      <c r="AL536" s="315"/>
      <c r="AM536" s="315"/>
      <c r="AN536" s="315"/>
      <c r="AO536" s="315"/>
      <c r="AP536" s="315"/>
      <c r="AQ536" s="319"/>
      <c r="AR536" s="319"/>
      <c r="AS536" s="319"/>
      <c r="AT536" s="319"/>
      <c r="AU536" s="319"/>
      <c r="AV536" s="319"/>
      <c r="AW536" s="261"/>
      <c r="AX536" s="261"/>
      <c r="AY536" s="261"/>
      <c r="AZ536" s="261"/>
      <c r="BA536" s="261"/>
      <c r="BB536" s="261"/>
      <c r="BC536" s="261"/>
      <c r="BD536" s="261"/>
      <c r="BE536" s="261"/>
      <c r="BF536" s="261"/>
      <c r="BG536" s="261"/>
      <c r="BH536" s="261"/>
      <c r="BI536" s="261"/>
      <c r="BJ536" s="261"/>
      <c r="BK536" s="261"/>
      <c r="BL536" s="261"/>
      <c r="BM536" s="261"/>
      <c r="BN536" s="261"/>
      <c r="BO536" s="261"/>
      <c r="BP536" s="261"/>
      <c r="BQ536" s="261"/>
      <c r="BR536" s="261"/>
      <c r="BS536" s="261"/>
      <c r="BT536" s="261"/>
      <c r="BU536" s="261"/>
      <c r="BV536" s="261"/>
      <c r="BW536" s="261"/>
    </row>
    <row r="537" spans="2:75">
      <c r="B537" s="230"/>
      <c r="C537" s="230"/>
      <c r="D537" s="230"/>
      <c r="E537" s="230"/>
      <c r="F537" s="230"/>
      <c r="G537" s="230"/>
      <c r="H537" s="230"/>
      <c r="I537" s="230"/>
      <c r="J537" s="230"/>
      <c r="K537" s="230"/>
      <c r="L537" s="230"/>
      <c r="M537" s="230"/>
      <c r="N537" s="315"/>
      <c r="O537" s="315"/>
      <c r="P537" s="315"/>
      <c r="Q537" s="315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315"/>
      <c r="AD537" s="315"/>
      <c r="AE537" s="315"/>
      <c r="AF537" s="315"/>
      <c r="AG537" s="315"/>
      <c r="AH537" s="315"/>
      <c r="AI537" s="315"/>
      <c r="AJ537" s="315"/>
      <c r="AK537" s="315"/>
      <c r="AL537" s="315"/>
      <c r="AM537" s="315"/>
      <c r="AN537" s="315"/>
      <c r="AO537" s="315"/>
      <c r="AP537" s="315"/>
      <c r="AQ537" s="319"/>
      <c r="AR537" s="319"/>
      <c r="AS537" s="319"/>
      <c r="AT537" s="319"/>
      <c r="AU537" s="319"/>
      <c r="AV537" s="319"/>
      <c r="AW537" s="261"/>
      <c r="AX537" s="261"/>
      <c r="AY537" s="261"/>
      <c r="AZ537" s="261"/>
      <c r="BA537" s="261"/>
      <c r="BB537" s="261"/>
      <c r="BC537" s="261"/>
      <c r="BD537" s="261"/>
      <c r="BE537" s="261"/>
      <c r="BF537" s="261"/>
      <c r="BG537" s="261"/>
      <c r="BH537" s="261"/>
      <c r="BI537" s="261"/>
      <c r="BJ537" s="261"/>
      <c r="BK537" s="261"/>
      <c r="BL537" s="261"/>
      <c r="BM537" s="261"/>
      <c r="BN537" s="261"/>
      <c r="BO537" s="261"/>
      <c r="BP537" s="261"/>
      <c r="BQ537" s="261"/>
      <c r="BR537" s="261"/>
      <c r="BS537" s="261"/>
      <c r="BT537" s="261"/>
      <c r="BU537" s="261"/>
      <c r="BV537" s="261"/>
      <c r="BW537" s="261"/>
    </row>
    <row r="538" spans="2:75">
      <c r="B538" s="230"/>
      <c r="C538" s="230"/>
      <c r="D538" s="230"/>
      <c r="E538" s="230"/>
      <c r="F538" s="230"/>
      <c r="G538" s="230"/>
      <c r="H538" s="230"/>
      <c r="I538" s="230"/>
      <c r="J538" s="230"/>
      <c r="K538" s="230"/>
      <c r="L538" s="230"/>
      <c r="M538" s="230"/>
      <c r="N538" s="315"/>
      <c r="O538" s="315"/>
      <c r="P538" s="315"/>
      <c r="Q538" s="315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315"/>
      <c r="AD538" s="315"/>
      <c r="AE538" s="315"/>
      <c r="AF538" s="315"/>
      <c r="AG538" s="315"/>
      <c r="AH538" s="315"/>
      <c r="AI538" s="315"/>
      <c r="AJ538" s="315"/>
      <c r="AK538" s="315"/>
      <c r="AL538" s="315"/>
      <c r="AM538" s="315"/>
      <c r="AN538" s="315"/>
      <c r="AO538" s="315"/>
      <c r="AP538" s="315"/>
      <c r="AQ538" s="319"/>
      <c r="AR538" s="319"/>
      <c r="AS538" s="319"/>
      <c r="AT538" s="319"/>
      <c r="AU538" s="319"/>
      <c r="AV538" s="319"/>
      <c r="AW538" s="261"/>
      <c r="AX538" s="261"/>
      <c r="AY538" s="261"/>
      <c r="AZ538" s="261"/>
      <c r="BA538" s="261"/>
      <c r="BB538" s="261"/>
      <c r="BC538" s="261"/>
      <c r="BD538" s="261"/>
      <c r="BE538" s="261"/>
      <c r="BF538" s="261"/>
      <c r="BG538" s="261"/>
      <c r="BH538" s="261"/>
      <c r="BI538" s="261"/>
      <c r="BJ538" s="261"/>
      <c r="BK538" s="261"/>
      <c r="BL538" s="261"/>
      <c r="BM538" s="261"/>
      <c r="BN538" s="261"/>
      <c r="BO538" s="261"/>
      <c r="BP538" s="261"/>
      <c r="BQ538" s="261"/>
      <c r="BR538" s="261"/>
      <c r="BS538" s="261"/>
      <c r="BT538" s="261"/>
      <c r="BU538" s="261"/>
      <c r="BV538" s="261"/>
      <c r="BW538" s="261"/>
    </row>
    <row r="539" spans="2:75">
      <c r="B539" s="230"/>
      <c r="C539" s="230"/>
      <c r="D539" s="230"/>
      <c r="E539" s="230"/>
      <c r="F539" s="230"/>
      <c r="G539" s="230"/>
      <c r="H539" s="230"/>
      <c r="I539" s="230"/>
      <c r="J539" s="230"/>
      <c r="K539" s="230"/>
      <c r="L539" s="230"/>
      <c r="M539" s="230"/>
      <c r="N539" s="315"/>
      <c r="O539" s="315"/>
      <c r="P539" s="315"/>
      <c r="Q539" s="315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315"/>
      <c r="AD539" s="315"/>
      <c r="AE539" s="315"/>
      <c r="AF539" s="315"/>
      <c r="AG539" s="315"/>
      <c r="AH539" s="315"/>
      <c r="AI539" s="315"/>
      <c r="AJ539" s="315"/>
      <c r="AK539" s="315"/>
      <c r="AL539" s="315"/>
      <c r="AM539" s="315"/>
      <c r="AN539" s="315"/>
      <c r="AO539" s="315"/>
      <c r="AP539" s="315"/>
      <c r="AQ539" s="319"/>
      <c r="AR539" s="319"/>
      <c r="AS539" s="319"/>
      <c r="AT539" s="319"/>
      <c r="AU539" s="319"/>
      <c r="AV539" s="319"/>
      <c r="AW539" s="261"/>
      <c r="AX539" s="261"/>
      <c r="AY539" s="261"/>
      <c r="AZ539" s="261"/>
      <c r="BA539" s="261"/>
      <c r="BB539" s="261"/>
      <c r="BC539" s="261"/>
      <c r="BD539" s="261"/>
      <c r="BE539" s="261"/>
      <c r="BF539" s="261"/>
      <c r="BG539" s="261"/>
      <c r="BH539" s="261"/>
      <c r="BI539" s="261"/>
      <c r="BJ539" s="261"/>
      <c r="BK539" s="261"/>
      <c r="BL539" s="261"/>
      <c r="BM539" s="261"/>
      <c r="BN539" s="261"/>
      <c r="BO539" s="261"/>
      <c r="BP539" s="261"/>
      <c r="BQ539" s="261"/>
      <c r="BR539" s="261"/>
      <c r="BS539" s="261"/>
      <c r="BT539" s="261"/>
      <c r="BU539" s="261"/>
      <c r="BV539" s="261"/>
      <c r="BW539" s="261"/>
    </row>
    <row r="540" spans="2:75">
      <c r="B540" s="230"/>
      <c r="C540" s="230"/>
      <c r="D540" s="230"/>
      <c r="E540" s="230"/>
      <c r="F540" s="230"/>
      <c r="G540" s="230"/>
      <c r="H540" s="230"/>
      <c r="I540" s="230"/>
      <c r="J540" s="230"/>
      <c r="K540" s="230"/>
      <c r="L540" s="230"/>
      <c r="M540" s="230"/>
      <c r="N540" s="315"/>
      <c r="O540" s="315"/>
      <c r="P540" s="315"/>
      <c r="Q540" s="315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315"/>
      <c r="AD540" s="315"/>
      <c r="AE540" s="315"/>
      <c r="AF540" s="315"/>
      <c r="AG540" s="315"/>
      <c r="AH540" s="315"/>
      <c r="AI540" s="315"/>
      <c r="AJ540" s="315"/>
      <c r="AK540" s="315"/>
      <c r="AL540" s="315"/>
      <c r="AM540" s="315"/>
      <c r="AN540" s="315"/>
      <c r="AO540" s="315"/>
      <c r="AP540" s="315"/>
      <c r="AQ540" s="319"/>
      <c r="AR540" s="319"/>
      <c r="AS540" s="319"/>
      <c r="AT540" s="319"/>
      <c r="AU540" s="319"/>
      <c r="AV540" s="319"/>
      <c r="AW540" s="261"/>
      <c r="AX540" s="261"/>
      <c r="AY540" s="261"/>
      <c r="AZ540" s="261"/>
      <c r="BA540" s="261"/>
      <c r="BB540" s="261"/>
      <c r="BC540" s="261"/>
      <c r="BD540" s="261"/>
      <c r="BE540" s="261"/>
      <c r="BF540" s="261"/>
      <c r="BG540" s="261"/>
      <c r="BH540" s="261"/>
      <c r="BI540" s="261"/>
      <c r="BJ540" s="261"/>
      <c r="BK540" s="261"/>
      <c r="BL540" s="261"/>
      <c r="BM540" s="261"/>
      <c r="BN540" s="261"/>
      <c r="BO540" s="261"/>
      <c r="BP540" s="261"/>
      <c r="BQ540" s="261"/>
      <c r="BR540" s="261"/>
      <c r="BS540" s="261"/>
      <c r="BT540" s="261"/>
      <c r="BU540" s="261"/>
      <c r="BV540" s="261"/>
      <c r="BW540" s="261"/>
    </row>
    <row r="541" spans="2:75">
      <c r="B541" s="230"/>
      <c r="C541" s="230"/>
      <c r="D541" s="230"/>
      <c r="E541" s="230"/>
      <c r="F541" s="230"/>
      <c r="G541" s="230"/>
      <c r="H541" s="230"/>
      <c r="I541" s="230"/>
      <c r="J541" s="230"/>
      <c r="K541" s="230"/>
      <c r="L541" s="230"/>
      <c r="M541" s="230"/>
      <c r="N541" s="315"/>
      <c r="O541" s="315"/>
      <c r="P541" s="315"/>
      <c r="Q541" s="315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315"/>
      <c r="AD541" s="315"/>
      <c r="AE541" s="315"/>
      <c r="AF541" s="315"/>
      <c r="AG541" s="315"/>
      <c r="AH541" s="315"/>
      <c r="AI541" s="315"/>
      <c r="AJ541" s="315"/>
      <c r="AK541" s="315"/>
      <c r="AL541" s="315"/>
      <c r="AM541" s="315"/>
      <c r="AN541" s="315"/>
      <c r="AO541" s="315"/>
      <c r="AP541" s="315"/>
      <c r="AQ541" s="319"/>
      <c r="AR541" s="319"/>
      <c r="AS541" s="319"/>
      <c r="AT541" s="319"/>
      <c r="AU541" s="319"/>
      <c r="AV541" s="319"/>
      <c r="AW541" s="261"/>
      <c r="AX541" s="261"/>
      <c r="AY541" s="261"/>
      <c r="AZ541" s="261"/>
      <c r="BA541" s="261"/>
      <c r="BB541" s="261"/>
      <c r="BC541" s="261"/>
      <c r="BD541" s="261"/>
      <c r="BE541" s="261"/>
      <c r="BF541" s="261"/>
      <c r="BG541" s="261"/>
      <c r="BH541" s="261"/>
      <c r="BI541" s="261"/>
      <c r="BJ541" s="261"/>
      <c r="BK541" s="261"/>
      <c r="BL541" s="261"/>
      <c r="BM541" s="261"/>
      <c r="BN541" s="261"/>
      <c r="BO541" s="261"/>
      <c r="BP541" s="261"/>
      <c r="BQ541" s="261"/>
      <c r="BR541" s="261"/>
      <c r="BS541" s="261"/>
      <c r="BT541" s="261"/>
      <c r="BU541" s="261"/>
      <c r="BV541" s="261"/>
      <c r="BW541" s="261"/>
    </row>
    <row r="542" spans="2:75">
      <c r="B542" s="230"/>
      <c r="C542" s="230"/>
      <c r="D542" s="230"/>
      <c r="E542" s="230"/>
      <c r="F542" s="230"/>
      <c r="G542" s="230"/>
      <c r="H542" s="230"/>
      <c r="I542" s="230"/>
      <c r="J542" s="230"/>
      <c r="K542" s="230"/>
      <c r="L542" s="230"/>
      <c r="M542" s="230"/>
      <c r="N542" s="315"/>
      <c r="O542" s="315"/>
      <c r="P542" s="315"/>
      <c r="Q542" s="315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315"/>
      <c r="AD542" s="315"/>
      <c r="AE542" s="315"/>
      <c r="AF542" s="315"/>
      <c r="AG542" s="315"/>
      <c r="AH542" s="315"/>
      <c r="AI542" s="315"/>
      <c r="AJ542" s="315"/>
      <c r="AK542" s="315"/>
      <c r="AL542" s="315"/>
      <c r="AM542" s="315"/>
      <c r="AN542" s="315"/>
      <c r="AO542" s="315"/>
      <c r="AP542" s="315"/>
      <c r="AQ542" s="319"/>
      <c r="AR542" s="319"/>
      <c r="AS542" s="319"/>
      <c r="AT542" s="319"/>
      <c r="AU542" s="319"/>
      <c r="AV542" s="319"/>
      <c r="AW542" s="261"/>
      <c r="AX542" s="261"/>
      <c r="AY542" s="261"/>
      <c r="AZ542" s="261"/>
      <c r="BA542" s="261"/>
      <c r="BB542" s="261"/>
      <c r="BC542" s="261"/>
      <c r="BD542" s="261"/>
      <c r="BE542" s="261"/>
      <c r="BF542" s="261"/>
      <c r="BG542" s="261"/>
      <c r="BH542" s="261"/>
      <c r="BI542" s="261"/>
      <c r="BJ542" s="261"/>
      <c r="BK542" s="261"/>
      <c r="BL542" s="261"/>
      <c r="BM542" s="261"/>
      <c r="BN542" s="261"/>
      <c r="BO542" s="261"/>
      <c r="BP542" s="261"/>
      <c r="BQ542" s="261"/>
      <c r="BR542" s="261"/>
      <c r="BS542" s="261"/>
      <c r="BT542" s="261"/>
      <c r="BU542" s="261"/>
      <c r="BV542" s="261"/>
      <c r="BW542" s="261"/>
    </row>
    <row r="543" spans="2:75"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315"/>
      <c r="O543" s="315"/>
      <c r="P543" s="315"/>
      <c r="Q543" s="315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315"/>
      <c r="AD543" s="315"/>
      <c r="AE543" s="315"/>
      <c r="AF543" s="315"/>
      <c r="AG543" s="315"/>
      <c r="AH543" s="315"/>
      <c r="AI543" s="315"/>
      <c r="AJ543" s="315"/>
      <c r="AK543" s="315"/>
      <c r="AL543" s="315"/>
      <c r="AM543" s="315"/>
      <c r="AN543" s="315"/>
      <c r="AO543" s="315"/>
      <c r="AP543" s="315"/>
      <c r="AQ543" s="319"/>
      <c r="AR543" s="319"/>
      <c r="AS543" s="319"/>
      <c r="AT543" s="319"/>
      <c r="AU543" s="319"/>
      <c r="AV543" s="319"/>
      <c r="AW543" s="261"/>
      <c r="AX543" s="261"/>
      <c r="AY543" s="261"/>
      <c r="AZ543" s="261"/>
      <c r="BA543" s="261"/>
      <c r="BB543" s="261"/>
      <c r="BC543" s="261"/>
      <c r="BD543" s="261"/>
      <c r="BE543" s="261"/>
      <c r="BF543" s="261"/>
      <c r="BG543" s="261"/>
      <c r="BH543" s="261"/>
      <c r="BI543" s="261"/>
      <c r="BJ543" s="261"/>
      <c r="BK543" s="261"/>
      <c r="BL543" s="261"/>
      <c r="BM543" s="261"/>
      <c r="BN543" s="261"/>
      <c r="BO543" s="261"/>
      <c r="BP543" s="261"/>
      <c r="BQ543" s="261"/>
      <c r="BR543" s="261"/>
      <c r="BS543" s="261"/>
      <c r="BT543" s="261"/>
      <c r="BU543" s="261"/>
      <c r="BV543" s="261"/>
      <c r="BW543" s="261"/>
    </row>
    <row r="544" spans="2:75">
      <c r="B544" s="230"/>
      <c r="C544" s="230"/>
      <c r="D544" s="230"/>
      <c r="E544" s="230"/>
      <c r="F544" s="230"/>
      <c r="G544" s="230"/>
      <c r="H544" s="230"/>
      <c r="I544" s="230"/>
      <c r="J544" s="230"/>
      <c r="K544" s="230"/>
      <c r="L544" s="230"/>
      <c r="M544" s="230"/>
      <c r="N544" s="315"/>
      <c r="O544" s="315"/>
      <c r="P544" s="315"/>
      <c r="Q544" s="315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315"/>
      <c r="AD544" s="315"/>
      <c r="AE544" s="315"/>
      <c r="AF544" s="315"/>
      <c r="AG544" s="315"/>
      <c r="AH544" s="315"/>
      <c r="AI544" s="315"/>
      <c r="AJ544" s="315"/>
      <c r="AK544" s="315"/>
      <c r="AL544" s="315"/>
      <c r="AM544" s="315"/>
      <c r="AN544" s="315"/>
      <c r="AO544" s="315"/>
      <c r="AP544" s="315"/>
      <c r="AQ544" s="319"/>
      <c r="AR544" s="319"/>
      <c r="AS544" s="319"/>
      <c r="AT544" s="319"/>
      <c r="AU544" s="319"/>
      <c r="AV544" s="319"/>
      <c r="AW544" s="261"/>
      <c r="AX544" s="261"/>
      <c r="AY544" s="261"/>
      <c r="AZ544" s="261"/>
      <c r="BA544" s="261"/>
      <c r="BB544" s="261"/>
      <c r="BC544" s="261"/>
      <c r="BD544" s="261"/>
      <c r="BE544" s="261"/>
      <c r="BF544" s="261"/>
      <c r="BG544" s="261"/>
      <c r="BH544" s="261"/>
      <c r="BI544" s="261"/>
      <c r="BJ544" s="261"/>
      <c r="BK544" s="261"/>
      <c r="BL544" s="261"/>
      <c r="BM544" s="261"/>
      <c r="BN544" s="261"/>
      <c r="BO544" s="261"/>
      <c r="BP544" s="261"/>
      <c r="BQ544" s="261"/>
      <c r="BR544" s="261"/>
      <c r="BS544" s="261"/>
      <c r="BT544" s="261"/>
      <c r="BU544" s="261"/>
      <c r="BV544" s="261"/>
      <c r="BW544" s="261"/>
    </row>
    <row r="545" spans="2:75">
      <c r="B545" s="230"/>
      <c r="C545" s="230"/>
      <c r="D545" s="230"/>
      <c r="E545" s="230"/>
      <c r="F545" s="230"/>
      <c r="G545" s="230"/>
      <c r="H545" s="230"/>
      <c r="I545" s="230"/>
      <c r="J545" s="230"/>
      <c r="K545" s="230"/>
      <c r="L545" s="230"/>
      <c r="M545" s="230"/>
      <c r="N545" s="315"/>
      <c r="O545" s="315"/>
      <c r="P545" s="315"/>
      <c r="Q545" s="315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315"/>
      <c r="AD545" s="315"/>
      <c r="AE545" s="315"/>
      <c r="AF545" s="315"/>
      <c r="AG545" s="315"/>
      <c r="AH545" s="315"/>
      <c r="AI545" s="315"/>
      <c r="AJ545" s="315"/>
      <c r="AK545" s="315"/>
      <c r="AL545" s="315"/>
      <c r="AM545" s="315"/>
      <c r="AN545" s="315"/>
      <c r="AO545" s="315"/>
      <c r="AP545" s="315"/>
      <c r="AQ545" s="319"/>
      <c r="AR545" s="319"/>
      <c r="AS545" s="319"/>
      <c r="AT545" s="319"/>
      <c r="AU545" s="319"/>
      <c r="AV545" s="319"/>
      <c r="AW545" s="261"/>
      <c r="AX545" s="261"/>
      <c r="AY545" s="261"/>
      <c r="AZ545" s="261"/>
      <c r="BA545" s="261"/>
      <c r="BB545" s="261"/>
      <c r="BC545" s="261"/>
      <c r="BD545" s="261"/>
      <c r="BE545" s="261"/>
      <c r="BF545" s="261"/>
      <c r="BG545" s="261"/>
      <c r="BH545" s="261"/>
      <c r="BI545" s="261"/>
      <c r="BJ545" s="261"/>
      <c r="BK545" s="261"/>
      <c r="BL545" s="261"/>
      <c r="BM545" s="261"/>
      <c r="BN545" s="261"/>
      <c r="BO545" s="261"/>
      <c r="BP545" s="261"/>
      <c r="BQ545" s="261"/>
      <c r="BR545" s="261"/>
      <c r="BS545" s="261"/>
      <c r="BT545" s="261"/>
      <c r="BU545" s="261"/>
      <c r="BV545" s="261"/>
      <c r="BW545" s="261"/>
    </row>
    <row r="546" spans="2:75">
      <c r="B546" s="230"/>
      <c r="C546" s="230"/>
      <c r="D546" s="230"/>
      <c r="E546" s="230"/>
      <c r="F546" s="230"/>
      <c r="G546" s="230"/>
      <c r="H546" s="230"/>
      <c r="I546" s="230"/>
      <c r="J546" s="230"/>
      <c r="K546" s="230"/>
      <c r="L546" s="230"/>
      <c r="M546" s="230"/>
      <c r="N546" s="315"/>
      <c r="O546" s="315"/>
      <c r="P546" s="315"/>
      <c r="Q546" s="315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315"/>
      <c r="AD546" s="315"/>
      <c r="AE546" s="315"/>
      <c r="AF546" s="315"/>
      <c r="AG546" s="315"/>
      <c r="AH546" s="315"/>
      <c r="AI546" s="315"/>
      <c r="AJ546" s="315"/>
      <c r="AK546" s="315"/>
      <c r="AL546" s="315"/>
      <c r="AM546" s="315"/>
      <c r="AN546" s="315"/>
      <c r="AO546" s="315"/>
      <c r="AP546" s="315"/>
      <c r="AQ546" s="319"/>
      <c r="AR546" s="319"/>
      <c r="AS546" s="319"/>
      <c r="AT546" s="319"/>
      <c r="AU546" s="319"/>
      <c r="AV546" s="319"/>
      <c r="AW546" s="261"/>
      <c r="AX546" s="261"/>
      <c r="AY546" s="261"/>
      <c r="AZ546" s="261"/>
      <c r="BA546" s="261"/>
      <c r="BB546" s="261"/>
      <c r="BC546" s="261"/>
      <c r="BD546" s="261"/>
      <c r="BE546" s="261"/>
      <c r="BF546" s="261"/>
      <c r="BG546" s="261"/>
      <c r="BH546" s="261"/>
      <c r="BI546" s="261"/>
      <c r="BJ546" s="261"/>
      <c r="BK546" s="261"/>
      <c r="BL546" s="261"/>
      <c r="BM546" s="261"/>
      <c r="BN546" s="261"/>
      <c r="BO546" s="261"/>
      <c r="BP546" s="261"/>
      <c r="BQ546" s="261"/>
      <c r="BR546" s="261"/>
      <c r="BS546" s="261"/>
      <c r="BT546" s="261"/>
      <c r="BU546" s="261"/>
      <c r="BV546" s="261"/>
      <c r="BW546" s="261"/>
    </row>
    <row r="547" spans="2:75">
      <c r="B547" s="230"/>
      <c r="C547" s="230"/>
      <c r="D547" s="230"/>
      <c r="E547" s="230"/>
      <c r="F547" s="230"/>
      <c r="G547" s="230"/>
      <c r="H547" s="230"/>
      <c r="I547" s="230"/>
      <c r="J547" s="230"/>
      <c r="K547" s="230"/>
      <c r="L547" s="230"/>
      <c r="M547" s="230"/>
      <c r="N547" s="315"/>
      <c r="O547" s="315"/>
      <c r="P547" s="315"/>
      <c r="Q547" s="315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315"/>
      <c r="AD547" s="315"/>
      <c r="AE547" s="315"/>
      <c r="AF547" s="315"/>
      <c r="AG547" s="315"/>
      <c r="AH547" s="315"/>
      <c r="AI547" s="315"/>
      <c r="AJ547" s="315"/>
      <c r="AK547" s="315"/>
      <c r="AL547" s="315"/>
      <c r="AM547" s="315"/>
      <c r="AN547" s="315"/>
      <c r="AO547" s="315"/>
      <c r="AP547" s="315"/>
      <c r="AQ547" s="319"/>
      <c r="AR547" s="319"/>
      <c r="AS547" s="319"/>
      <c r="AT547" s="319"/>
      <c r="AU547" s="319"/>
      <c r="AV547" s="319"/>
      <c r="AW547" s="261"/>
      <c r="AX547" s="261"/>
      <c r="AY547" s="261"/>
      <c r="AZ547" s="261"/>
      <c r="BA547" s="261"/>
      <c r="BB547" s="261"/>
      <c r="BC547" s="261"/>
      <c r="BD547" s="261"/>
      <c r="BE547" s="261"/>
      <c r="BF547" s="261"/>
      <c r="BG547" s="261"/>
      <c r="BH547" s="261"/>
      <c r="BI547" s="261"/>
      <c r="BJ547" s="261"/>
      <c r="BK547" s="261"/>
      <c r="BL547" s="261"/>
      <c r="BM547" s="261"/>
      <c r="BN547" s="261"/>
      <c r="BO547" s="261"/>
      <c r="BP547" s="261"/>
      <c r="BQ547" s="261"/>
      <c r="BR547" s="261"/>
      <c r="BS547" s="261"/>
      <c r="BT547" s="261"/>
      <c r="BU547" s="261"/>
      <c r="BV547" s="261"/>
      <c r="BW547" s="261"/>
    </row>
    <row r="548" spans="2:75">
      <c r="B548" s="230"/>
      <c r="C548" s="230"/>
      <c r="D548" s="230"/>
      <c r="E548" s="230"/>
      <c r="F548" s="230"/>
      <c r="G548" s="230"/>
      <c r="H548" s="230"/>
      <c r="I548" s="230"/>
      <c r="J548" s="230"/>
      <c r="K548" s="230"/>
      <c r="L548" s="230"/>
      <c r="M548" s="230"/>
      <c r="N548" s="315"/>
      <c r="O548" s="315"/>
      <c r="P548" s="315"/>
      <c r="Q548" s="315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315"/>
      <c r="AD548" s="315"/>
      <c r="AE548" s="315"/>
      <c r="AF548" s="315"/>
      <c r="AG548" s="315"/>
      <c r="AH548" s="315"/>
      <c r="AI548" s="315"/>
      <c r="AJ548" s="315"/>
      <c r="AK548" s="315"/>
      <c r="AL548" s="315"/>
      <c r="AM548" s="315"/>
      <c r="AN548" s="315"/>
      <c r="AO548" s="315"/>
      <c r="AP548" s="315"/>
      <c r="AQ548" s="319"/>
      <c r="AR548" s="319"/>
      <c r="AS548" s="319"/>
      <c r="AT548" s="319"/>
      <c r="AU548" s="319"/>
      <c r="AV548" s="319"/>
      <c r="AW548" s="261"/>
      <c r="AX548" s="261"/>
      <c r="AY548" s="261"/>
      <c r="AZ548" s="261"/>
      <c r="BA548" s="261"/>
      <c r="BB548" s="261"/>
      <c r="BC548" s="261"/>
      <c r="BD548" s="261"/>
      <c r="BE548" s="261"/>
      <c r="BF548" s="261"/>
      <c r="BG548" s="261"/>
      <c r="BH548" s="261"/>
      <c r="BI548" s="261"/>
      <c r="BJ548" s="261"/>
      <c r="BK548" s="261"/>
      <c r="BL548" s="261"/>
      <c r="BM548" s="261"/>
      <c r="BN548" s="261"/>
      <c r="BO548" s="261"/>
      <c r="BP548" s="261"/>
      <c r="BQ548" s="261"/>
      <c r="BR548" s="261"/>
      <c r="BS548" s="261"/>
      <c r="BT548" s="261"/>
      <c r="BU548" s="261"/>
      <c r="BV548" s="261"/>
      <c r="BW548" s="261"/>
    </row>
    <row r="549" spans="2:75">
      <c r="B549" s="230"/>
      <c r="C549" s="230"/>
      <c r="D549" s="230"/>
      <c r="E549" s="230"/>
      <c r="F549" s="230"/>
      <c r="G549" s="230"/>
      <c r="H549" s="230"/>
      <c r="I549" s="230"/>
      <c r="J549" s="230"/>
      <c r="K549" s="230"/>
      <c r="L549" s="230"/>
      <c r="M549" s="230"/>
      <c r="N549" s="315"/>
      <c r="O549" s="315"/>
      <c r="P549" s="315"/>
      <c r="Q549" s="315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315"/>
      <c r="AD549" s="315"/>
      <c r="AE549" s="315"/>
      <c r="AF549" s="315"/>
      <c r="AG549" s="315"/>
      <c r="AH549" s="315"/>
      <c r="AI549" s="315"/>
      <c r="AJ549" s="315"/>
      <c r="AK549" s="315"/>
      <c r="AL549" s="315"/>
      <c r="AM549" s="315"/>
      <c r="AN549" s="315"/>
      <c r="AO549" s="315"/>
      <c r="AP549" s="315"/>
      <c r="AQ549" s="319"/>
      <c r="AR549" s="319"/>
      <c r="AS549" s="319"/>
      <c r="AT549" s="319"/>
      <c r="AU549" s="319"/>
      <c r="AV549" s="319"/>
      <c r="AW549" s="261"/>
      <c r="AX549" s="261"/>
      <c r="AY549" s="261"/>
      <c r="AZ549" s="261"/>
      <c r="BA549" s="261"/>
      <c r="BB549" s="261"/>
      <c r="BC549" s="261"/>
      <c r="BD549" s="261"/>
      <c r="BE549" s="261"/>
      <c r="BF549" s="261"/>
      <c r="BG549" s="261"/>
      <c r="BH549" s="261"/>
      <c r="BI549" s="261"/>
      <c r="BJ549" s="261"/>
      <c r="BK549" s="261"/>
      <c r="BL549" s="261"/>
      <c r="BM549" s="261"/>
      <c r="BN549" s="261"/>
      <c r="BO549" s="261"/>
      <c r="BP549" s="261"/>
      <c r="BQ549" s="261"/>
      <c r="BR549" s="261"/>
      <c r="BS549" s="261"/>
      <c r="BT549" s="261"/>
      <c r="BU549" s="261"/>
      <c r="BV549" s="261"/>
      <c r="BW549" s="261"/>
    </row>
    <row r="550" spans="2:75">
      <c r="B550" s="230"/>
      <c r="C550" s="230"/>
      <c r="D550" s="230"/>
      <c r="E550" s="230"/>
      <c r="F550" s="230"/>
      <c r="G550" s="230"/>
      <c r="H550" s="230"/>
      <c r="I550" s="230"/>
      <c r="J550" s="230"/>
      <c r="K550" s="230"/>
      <c r="L550" s="230"/>
      <c r="M550" s="230"/>
      <c r="N550" s="315"/>
      <c r="O550" s="315"/>
      <c r="P550" s="315"/>
      <c r="Q550" s="315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315"/>
      <c r="AD550" s="315"/>
      <c r="AE550" s="315"/>
      <c r="AF550" s="315"/>
      <c r="AG550" s="315"/>
      <c r="AH550" s="315"/>
      <c r="AI550" s="315"/>
      <c r="AJ550" s="315"/>
      <c r="AK550" s="315"/>
      <c r="AL550" s="315"/>
      <c r="AM550" s="315"/>
      <c r="AN550" s="315"/>
      <c r="AO550" s="315"/>
      <c r="AP550" s="315"/>
      <c r="AQ550" s="319"/>
      <c r="AR550" s="319"/>
      <c r="AS550" s="319"/>
      <c r="AT550" s="319"/>
      <c r="AU550" s="319"/>
      <c r="AV550" s="319"/>
      <c r="AW550" s="261"/>
      <c r="AX550" s="261"/>
      <c r="AY550" s="261"/>
      <c r="AZ550" s="261"/>
      <c r="BA550" s="261"/>
      <c r="BB550" s="261"/>
      <c r="BC550" s="261"/>
      <c r="BD550" s="261"/>
      <c r="BE550" s="261"/>
      <c r="BF550" s="261"/>
      <c r="BG550" s="261"/>
      <c r="BH550" s="261"/>
      <c r="BI550" s="261"/>
      <c r="BJ550" s="261"/>
      <c r="BK550" s="261"/>
      <c r="BL550" s="261"/>
      <c r="BM550" s="261"/>
      <c r="BN550" s="261"/>
      <c r="BO550" s="261"/>
      <c r="BP550" s="261"/>
      <c r="BQ550" s="261"/>
      <c r="BR550" s="261"/>
      <c r="BS550" s="261"/>
      <c r="BT550" s="261"/>
      <c r="BU550" s="261"/>
      <c r="BV550" s="261"/>
      <c r="BW550" s="261"/>
    </row>
    <row r="551" spans="2:75">
      <c r="B551" s="230"/>
      <c r="C551" s="230"/>
      <c r="D551" s="230"/>
      <c r="E551" s="230"/>
      <c r="F551" s="230"/>
      <c r="G551" s="230"/>
      <c r="H551" s="230"/>
      <c r="I551" s="230"/>
      <c r="J551" s="230"/>
      <c r="K551" s="230"/>
      <c r="L551" s="230"/>
      <c r="M551" s="230"/>
      <c r="N551" s="315"/>
      <c r="O551" s="315"/>
      <c r="P551" s="315"/>
      <c r="Q551" s="315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315"/>
      <c r="AD551" s="315"/>
      <c r="AE551" s="315"/>
      <c r="AF551" s="315"/>
      <c r="AG551" s="315"/>
      <c r="AH551" s="315"/>
      <c r="AI551" s="315"/>
      <c r="AJ551" s="315"/>
      <c r="AK551" s="315"/>
      <c r="AL551" s="315"/>
      <c r="AM551" s="315"/>
      <c r="AN551" s="315"/>
      <c r="AO551" s="315"/>
      <c r="AP551" s="315"/>
      <c r="AQ551" s="319"/>
      <c r="AR551" s="319"/>
      <c r="AS551" s="319"/>
      <c r="AT551" s="319"/>
      <c r="AU551" s="319"/>
      <c r="AV551" s="319"/>
      <c r="AW551" s="261"/>
      <c r="AX551" s="261"/>
      <c r="AY551" s="261"/>
      <c r="AZ551" s="261"/>
      <c r="BA551" s="261"/>
      <c r="BB551" s="261"/>
      <c r="BC551" s="261"/>
      <c r="BD551" s="261"/>
      <c r="BE551" s="261"/>
      <c r="BF551" s="261"/>
      <c r="BG551" s="261"/>
      <c r="BH551" s="261"/>
      <c r="BI551" s="261"/>
      <c r="BJ551" s="261"/>
      <c r="BK551" s="261"/>
      <c r="BL551" s="261"/>
      <c r="BM551" s="261"/>
      <c r="BN551" s="261"/>
      <c r="BO551" s="261"/>
      <c r="BP551" s="261"/>
      <c r="BQ551" s="261"/>
      <c r="BR551" s="261"/>
      <c r="BS551" s="261"/>
      <c r="BT551" s="261"/>
      <c r="BU551" s="261"/>
      <c r="BV551" s="261"/>
      <c r="BW551" s="261"/>
    </row>
    <row r="552" spans="2:75">
      <c r="B552" s="230"/>
      <c r="C552" s="230"/>
      <c r="D552" s="230"/>
      <c r="E552" s="230"/>
      <c r="F552" s="230"/>
      <c r="G552" s="230"/>
      <c r="H552" s="230"/>
      <c r="I552" s="230"/>
      <c r="J552" s="230"/>
      <c r="K552" s="230"/>
      <c r="L552" s="230"/>
      <c r="M552" s="230"/>
      <c r="N552" s="315"/>
      <c r="O552" s="315"/>
      <c r="P552" s="315"/>
      <c r="Q552" s="315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315"/>
      <c r="AD552" s="315"/>
      <c r="AE552" s="315"/>
      <c r="AF552" s="315"/>
      <c r="AG552" s="315"/>
      <c r="AH552" s="315"/>
      <c r="AI552" s="315"/>
      <c r="AJ552" s="315"/>
      <c r="AK552" s="315"/>
      <c r="AL552" s="315"/>
      <c r="AM552" s="315"/>
      <c r="AN552" s="315"/>
      <c r="AO552" s="315"/>
      <c r="AP552" s="315"/>
      <c r="AQ552" s="319"/>
      <c r="AR552" s="319"/>
      <c r="AS552" s="319"/>
      <c r="AT552" s="319"/>
      <c r="AU552" s="319"/>
      <c r="AV552" s="319"/>
      <c r="AW552" s="261"/>
      <c r="AX552" s="261"/>
      <c r="AY552" s="261"/>
      <c r="AZ552" s="261"/>
      <c r="BA552" s="261"/>
      <c r="BB552" s="261"/>
      <c r="BC552" s="261"/>
      <c r="BD552" s="261"/>
      <c r="BE552" s="261"/>
      <c r="BF552" s="261"/>
      <c r="BG552" s="261"/>
      <c r="BH552" s="261"/>
      <c r="BI552" s="261"/>
      <c r="BJ552" s="261"/>
      <c r="BK552" s="261"/>
      <c r="BL552" s="261"/>
      <c r="BM552" s="261"/>
      <c r="BN552" s="261"/>
      <c r="BO552" s="261"/>
      <c r="BP552" s="261"/>
      <c r="BQ552" s="261"/>
      <c r="BR552" s="261"/>
      <c r="BS552" s="261"/>
      <c r="BT552" s="261"/>
      <c r="BU552" s="261"/>
      <c r="BV552" s="261"/>
      <c r="BW552" s="261"/>
    </row>
    <row r="553" spans="2:75">
      <c r="B553" s="230"/>
      <c r="C553" s="230"/>
      <c r="D553" s="230"/>
      <c r="E553" s="230"/>
      <c r="F553" s="230"/>
      <c r="G553" s="230"/>
      <c r="H553" s="230"/>
      <c r="I553" s="230"/>
      <c r="J553" s="230"/>
      <c r="K553" s="230"/>
      <c r="L553" s="230"/>
      <c r="M553" s="230"/>
      <c r="N553" s="315"/>
      <c r="O553" s="315"/>
      <c r="P553" s="315"/>
      <c r="Q553" s="315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315"/>
      <c r="AD553" s="315"/>
      <c r="AE553" s="315"/>
      <c r="AF553" s="315"/>
      <c r="AG553" s="315"/>
      <c r="AH553" s="315"/>
      <c r="AI553" s="315"/>
      <c r="AJ553" s="315"/>
      <c r="AK553" s="315"/>
      <c r="AL553" s="315"/>
      <c r="AM553" s="315"/>
      <c r="AN553" s="315"/>
      <c r="AO553" s="315"/>
      <c r="AP553" s="315"/>
      <c r="AQ553" s="319"/>
      <c r="AR553" s="319"/>
      <c r="AS553" s="319"/>
      <c r="AT553" s="319"/>
      <c r="AU553" s="319"/>
      <c r="AV553" s="319"/>
      <c r="AW553" s="261"/>
      <c r="AX553" s="261"/>
      <c r="AY553" s="261"/>
      <c r="AZ553" s="261"/>
      <c r="BA553" s="261"/>
      <c r="BB553" s="261"/>
      <c r="BC553" s="261"/>
      <c r="BD553" s="261"/>
      <c r="BE553" s="261"/>
      <c r="BF553" s="261"/>
      <c r="BG553" s="261"/>
      <c r="BH553" s="261"/>
      <c r="BI553" s="261"/>
      <c r="BJ553" s="261"/>
      <c r="BK553" s="261"/>
      <c r="BL553" s="261"/>
      <c r="BM553" s="261"/>
      <c r="BN553" s="261"/>
      <c r="BO553" s="261"/>
      <c r="BP553" s="261"/>
      <c r="BQ553" s="261"/>
      <c r="BR553" s="261"/>
      <c r="BS553" s="261"/>
      <c r="BT553" s="261"/>
      <c r="BU553" s="261"/>
      <c r="BV553" s="261"/>
      <c r="BW553" s="261"/>
    </row>
    <row r="554" spans="2:75">
      <c r="B554" s="230"/>
      <c r="C554" s="230"/>
      <c r="D554" s="230"/>
      <c r="E554" s="230"/>
      <c r="F554" s="230"/>
      <c r="G554" s="230"/>
      <c r="H554" s="230"/>
      <c r="I554" s="230"/>
      <c r="J554" s="230"/>
      <c r="K554" s="230"/>
      <c r="L554" s="230"/>
      <c r="M554" s="230"/>
      <c r="N554" s="315"/>
      <c r="O554" s="315"/>
      <c r="P554" s="315"/>
      <c r="Q554" s="315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315"/>
      <c r="AD554" s="315"/>
      <c r="AE554" s="315"/>
      <c r="AF554" s="315"/>
      <c r="AG554" s="315"/>
      <c r="AH554" s="315"/>
      <c r="AI554" s="315"/>
      <c r="AJ554" s="315"/>
      <c r="AK554" s="315"/>
      <c r="AL554" s="315"/>
      <c r="AM554" s="315"/>
      <c r="AN554" s="315"/>
      <c r="AO554" s="315"/>
      <c r="AP554" s="315"/>
      <c r="AQ554" s="319"/>
      <c r="AR554" s="319"/>
      <c r="AS554" s="319"/>
      <c r="AT554" s="319"/>
      <c r="AU554" s="319"/>
      <c r="AV554" s="319"/>
      <c r="AW554" s="261"/>
      <c r="AX554" s="261"/>
      <c r="AY554" s="261"/>
      <c r="AZ554" s="261"/>
      <c r="BA554" s="261"/>
      <c r="BB554" s="261"/>
      <c r="BC554" s="261"/>
      <c r="BD554" s="261"/>
      <c r="BE554" s="261"/>
      <c r="BF554" s="261"/>
      <c r="BG554" s="261"/>
      <c r="BH554" s="261"/>
      <c r="BI554" s="261"/>
      <c r="BJ554" s="261"/>
      <c r="BK554" s="261"/>
      <c r="BL554" s="261"/>
      <c r="BM554" s="261"/>
      <c r="BN554" s="261"/>
      <c r="BO554" s="261"/>
      <c r="BP554" s="261"/>
      <c r="BQ554" s="261"/>
      <c r="BR554" s="261"/>
      <c r="BS554" s="261"/>
      <c r="BT554" s="261"/>
      <c r="BU554" s="261"/>
      <c r="BV554" s="261"/>
      <c r="BW554" s="261"/>
    </row>
    <row r="555" spans="2:75">
      <c r="B555" s="230"/>
      <c r="C555" s="230"/>
      <c r="D555" s="230"/>
      <c r="E555" s="230"/>
      <c r="F555" s="230"/>
      <c r="G555" s="230"/>
      <c r="H555" s="230"/>
      <c r="I555" s="230"/>
      <c r="J555" s="230"/>
      <c r="K555" s="230"/>
      <c r="L555" s="230"/>
      <c r="M555" s="230"/>
      <c r="N555" s="315"/>
      <c r="O555" s="315"/>
      <c r="P555" s="315"/>
      <c r="Q555" s="315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315"/>
      <c r="AD555" s="315"/>
      <c r="AE555" s="315"/>
      <c r="AF555" s="315"/>
      <c r="AG555" s="315"/>
      <c r="AH555" s="315"/>
      <c r="AI555" s="315"/>
      <c r="AJ555" s="315"/>
      <c r="AK555" s="315"/>
      <c r="AL555" s="315"/>
      <c r="AM555" s="315"/>
      <c r="AN555" s="315"/>
      <c r="AO555" s="315"/>
      <c r="AP555" s="315"/>
      <c r="AQ555" s="319"/>
      <c r="AR555" s="319"/>
      <c r="AS555" s="319"/>
      <c r="AT555" s="319"/>
      <c r="AU555" s="319"/>
      <c r="AV555" s="319"/>
      <c r="AW555" s="261"/>
      <c r="AX555" s="261"/>
      <c r="AY555" s="261"/>
      <c r="AZ555" s="261"/>
      <c r="BA555" s="261"/>
      <c r="BB555" s="261"/>
      <c r="BC555" s="261"/>
      <c r="BD555" s="261"/>
      <c r="BE555" s="261"/>
      <c r="BF555" s="261"/>
      <c r="BG555" s="261"/>
      <c r="BH555" s="261"/>
      <c r="BI555" s="261"/>
      <c r="BJ555" s="261"/>
      <c r="BK555" s="261"/>
      <c r="BL555" s="261"/>
      <c r="BM555" s="261"/>
      <c r="BN555" s="261"/>
      <c r="BO555" s="261"/>
      <c r="BP555" s="261"/>
      <c r="BQ555" s="261"/>
      <c r="BR555" s="261"/>
      <c r="BS555" s="261"/>
      <c r="BT555" s="261"/>
      <c r="BU555" s="261"/>
      <c r="BV555" s="261"/>
      <c r="BW555" s="261"/>
    </row>
    <row r="556" spans="2:75">
      <c r="B556" s="230"/>
      <c r="C556" s="230"/>
      <c r="D556" s="230"/>
      <c r="E556" s="230"/>
      <c r="F556" s="230"/>
      <c r="G556" s="230"/>
      <c r="H556" s="230"/>
      <c r="I556" s="230"/>
      <c r="J556" s="230"/>
      <c r="K556" s="230"/>
      <c r="L556" s="230"/>
      <c r="M556" s="230"/>
      <c r="N556" s="315"/>
      <c r="O556" s="315"/>
      <c r="P556" s="315"/>
      <c r="Q556" s="315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315"/>
      <c r="AD556" s="315"/>
      <c r="AE556" s="315"/>
      <c r="AF556" s="315"/>
      <c r="AG556" s="315"/>
      <c r="AH556" s="315"/>
      <c r="AI556" s="315"/>
      <c r="AJ556" s="315"/>
      <c r="AK556" s="315"/>
      <c r="AL556" s="315"/>
      <c r="AM556" s="315"/>
      <c r="AN556" s="315"/>
      <c r="AO556" s="315"/>
      <c r="AP556" s="315"/>
      <c r="AQ556" s="319"/>
      <c r="AR556" s="319"/>
      <c r="AS556" s="319"/>
      <c r="AT556" s="319"/>
      <c r="AU556" s="319"/>
      <c r="AV556" s="319"/>
      <c r="AW556" s="261"/>
      <c r="AX556" s="261"/>
      <c r="AY556" s="261"/>
      <c r="AZ556" s="261"/>
      <c r="BA556" s="261"/>
      <c r="BB556" s="261"/>
      <c r="BC556" s="261"/>
      <c r="BD556" s="261"/>
      <c r="BE556" s="261"/>
      <c r="BF556" s="261"/>
      <c r="BG556" s="261"/>
      <c r="BH556" s="261"/>
      <c r="BI556" s="261"/>
      <c r="BJ556" s="261"/>
      <c r="BK556" s="261"/>
      <c r="BL556" s="261"/>
      <c r="BM556" s="261"/>
      <c r="BN556" s="261"/>
      <c r="BO556" s="261"/>
      <c r="BP556" s="261"/>
      <c r="BQ556" s="261"/>
      <c r="BR556" s="261"/>
      <c r="BS556" s="261"/>
      <c r="BT556" s="261"/>
      <c r="BU556" s="261"/>
      <c r="BV556" s="261"/>
      <c r="BW556" s="261"/>
    </row>
    <row r="557" spans="2:75">
      <c r="B557" s="230"/>
      <c r="C557" s="230"/>
      <c r="D557" s="230"/>
      <c r="E557" s="230"/>
      <c r="F557" s="230"/>
      <c r="G557" s="230"/>
      <c r="H557" s="230"/>
      <c r="I557" s="230"/>
      <c r="J557" s="230"/>
      <c r="K557" s="230"/>
      <c r="L557" s="230"/>
      <c r="M557" s="230"/>
      <c r="N557" s="315"/>
      <c r="O557" s="315"/>
      <c r="P557" s="315"/>
      <c r="Q557" s="315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315"/>
      <c r="AD557" s="315"/>
      <c r="AE557" s="315"/>
      <c r="AF557" s="315"/>
      <c r="AG557" s="315"/>
      <c r="AH557" s="315"/>
      <c r="AI557" s="315"/>
      <c r="AJ557" s="315"/>
      <c r="AK557" s="315"/>
      <c r="AL557" s="315"/>
      <c r="AM557" s="315"/>
      <c r="AN557" s="315"/>
      <c r="AO557" s="315"/>
      <c r="AP557" s="315"/>
      <c r="AQ557" s="319"/>
      <c r="AR557" s="319"/>
      <c r="AS557" s="319"/>
      <c r="AT557" s="319"/>
      <c r="AU557" s="319"/>
      <c r="AV557" s="319"/>
      <c r="AW557" s="261"/>
      <c r="AX557" s="261"/>
      <c r="AY557" s="261"/>
      <c r="AZ557" s="261"/>
      <c r="BA557" s="261"/>
      <c r="BB557" s="261"/>
      <c r="BC557" s="261"/>
      <c r="BD557" s="261"/>
      <c r="BE557" s="261"/>
      <c r="BF557" s="261"/>
      <c r="BG557" s="261"/>
      <c r="BH557" s="261"/>
      <c r="BI557" s="261"/>
      <c r="BJ557" s="261"/>
      <c r="BK557" s="261"/>
      <c r="BL557" s="261"/>
      <c r="BM557" s="261"/>
      <c r="BN557" s="261"/>
      <c r="BO557" s="261"/>
      <c r="BP557" s="261"/>
      <c r="BQ557" s="261"/>
      <c r="BR557" s="261"/>
      <c r="BS557" s="261"/>
      <c r="BT557" s="261"/>
      <c r="BU557" s="261"/>
      <c r="BV557" s="261"/>
      <c r="BW557" s="261"/>
    </row>
    <row r="558" spans="2:75">
      <c r="B558" s="230"/>
      <c r="C558" s="230"/>
      <c r="D558" s="230"/>
      <c r="E558" s="230"/>
      <c r="F558" s="230"/>
      <c r="G558" s="230"/>
      <c r="H558" s="230"/>
      <c r="I558" s="230"/>
      <c r="J558" s="230"/>
      <c r="K558" s="230"/>
      <c r="L558" s="230"/>
      <c r="M558" s="230"/>
      <c r="N558" s="315"/>
      <c r="O558" s="315"/>
      <c r="P558" s="315"/>
      <c r="Q558" s="315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315"/>
      <c r="AD558" s="315"/>
      <c r="AE558" s="315"/>
      <c r="AF558" s="315"/>
      <c r="AG558" s="315"/>
      <c r="AH558" s="315"/>
      <c r="AI558" s="315"/>
      <c r="AJ558" s="315"/>
      <c r="AK558" s="315"/>
      <c r="AL558" s="315"/>
      <c r="AM558" s="315"/>
      <c r="AN558" s="315"/>
      <c r="AO558" s="315"/>
      <c r="AP558" s="315"/>
      <c r="AQ558" s="319"/>
      <c r="AR558" s="319"/>
      <c r="AS558" s="319"/>
      <c r="AT558" s="319"/>
      <c r="AU558" s="319"/>
      <c r="AV558" s="319"/>
      <c r="AW558" s="261"/>
      <c r="AX558" s="261"/>
      <c r="AY558" s="261"/>
      <c r="AZ558" s="261"/>
      <c r="BA558" s="261"/>
      <c r="BB558" s="261"/>
      <c r="BC558" s="261"/>
      <c r="BD558" s="261"/>
      <c r="BE558" s="261"/>
      <c r="BF558" s="261"/>
      <c r="BG558" s="261"/>
      <c r="BH558" s="261"/>
      <c r="BI558" s="261"/>
      <c r="BJ558" s="261"/>
      <c r="BK558" s="261"/>
      <c r="BL558" s="261"/>
      <c r="BM558" s="261"/>
      <c r="BN558" s="261"/>
      <c r="BO558" s="261"/>
      <c r="BP558" s="261"/>
      <c r="BQ558" s="261"/>
      <c r="BR558" s="261"/>
      <c r="BS558" s="261"/>
      <c r="BT558" s="261"/>
      <c r="BU558" s="261"/>
      <c r="BV558" s="261"/>
      <c r="BW558" s="261"/>
    </row>
    <row r="559" spans="2:75">
      <c r="B559" s="230"/>
      <c r="C559" s="230"/>
      <c r="D559" s="230"/>
      <c r="E559" s="230"/>
      <c r="F559" s="230"/>
      <c r="G559" s="230"/>
      <c r="H559" s="230"/>
      <c r="I559" s="230"/>
      <c r="J559" s="230"/>
      <c r="K559" s="230"/>
      <c r="L559" s="230"/>
      <c r="M559" s="230"/>
      <c r="N559" s="315"/>
      <c r="O559" s="315"/>
      <c r="P559" s="315"/>
      <c r="Q559" s="315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315"/>
      <c r="AD559" s="315"/>
      <c r="AE559" s="315"/>
      <c r="AF559" s="315"/>
      <c r="AG559" s="315"/>
      <c r="AH559" s="315"/>
      <c r="AI559" s="315"/>
      <c r="AJ559" s="315"/>
      <c r="AK559" s="315"/>
      <c r="AL559" s="315"/>
      <c r="AM559" s="315"/>
      <c r="AN559" s="315"/>
      <c r="AO559" s="315"/>
      <c r="AP559" s="315"/>
      <c r="AQ559" s="319"/>
      <c r="AR559" s="319"/>
      <c r="AS559" s="319"/>
      <c r="AT559" s="319"/>
      <c r="AU559" s="319"/>
      <c r="AV559" s="319"/>
      <c r="AW559" s="261"/>
      <c r="AX559" s="261"/>
      <c r="AY559" s="261"/>
      <c r="AZ559" s="261"/>
      <c r="BA559" s="261"/>
      <c r="BB559" s="261"/>
      <c r="BC559" s="261"/>
      <c r="BD559" s="261"/>
      <c r="BE559" s="261"/>
      <c r="BF559" s="261"/>
      <c r="BG559" s="261"/>
      <c r="BH559" s="261"/>
      <c r="BI559" s="261"/>
      <c r="BJ559" s="261"/>
      <c r="BK559" s="261"/>
      <c r="BL559" s="261"/>
      <c r="BM559" s="261"/>
      <c r="BN559" s="261"/>
      <c r="BO559" s="261"/>
      <c r="BP559" s="261"/>
      <c r="BQ559" s="261"/>
      <c r="BR559" s="261"/>
      <c r="BS559" s="261"/>
      <c r="BT559" s="261"/>
      <c r="BU559" s="261"/>
      <c r="BV559" s="261"/>
      <c r="BW559" s="261"/>
    </row>
    <row r="560" spans="2:75">
      <c r="B560" s="230"/>
      <c r="C560" s="230"/>
      <c r="D560" s="230"/>
      <c r="E560" s="230"/>
      <c r="F560" s="230"/>
      <c r="G560" s="230"/>
      <c r="H560" s="230"/>
      <c r="I560" s="230"/>
      <c r="J560" s="230"/>
      <c r="K560" s="230"/>
      <c r="L560" s="230"/>
      <c r="M560" s="230"/>
      <c r="N560" s="315"/>
      <c r="O560" s="315"/>
      <c r="P560" s="315"/>
      <c r="Q560" s="315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315"/>
      <c r="AD560" s="315"/>
      <c r="AE560" s="315"/>
      <c r="AF560" s="315"/>
      <c r="AG560" s="315"/>
      <c r="AH560" s="315"/>
      <c r="AI560" s="315"/>
      <c r="AJ560" s="315"/>
      <c r="AK560" s="315"/>
      <c r="AL560" s="315"/>
      <c r="AM560" s="315"/>
      <c r="AN560" s="315"/>
      <c r="AO560" s="315"/>
      <c r="AP560" s="315"/>
      <c r="AQ560" s="319"/>
      <c r="AR560" s="319"/>
      <c r="AS560" s="319"/>
      <c r="AT560" s="319"/>
      <c r="AU560" s="319"/>
      <c r="AV560" s="319"/>
      <c r="AW560" s="261"/>
      <c r="AX560" s="261"/>
      <c r="AY560" s="261"/>
      <c r="AZ560" s="261"/>
      <c r="BA560" s="261"/>
      <c r="BB560" s="261"/>
      <c r="BC560" s="261"/>
      <c r="BD560" s="261"/>
      <c r="BE560" s="261"/>
      <c r="BF560" s="261"/>
      <c r="BG560" s="261"/>
      <c r="BH560" s="261"/>
      <c r="BI560" s="261"/>
      <c r="BJ560" s="261"/>
      <c r="BK560" s="261"/>
      <c r="BL560" s="261"/>
      <c r="BM560" s="261"/>
      <c r="BN560" s="261"/>
      <c r="BO560" s="261"/>
      <c r="BP560" s="261"/>
      <c r="BQ560" s="261"/>
      <c r="BR560" s="261"/>
      <c r="BS560" s="261"/>
      <c r="BT560" s="261"/>
      <c r="BU560" s="261"/>
      <c r="BV560" s="261"/>
      <c r="BW560" s="261"/>
    </row>
    <row r="561" spans="2:75">
      <c r="B561" s="230"/>
      <c r="C561" s="230"/>
      <c r="D561" s="230"/>
      <c r="E561" s="230"/>
      <c r="F561" s="230"/>
      <c r="G561" s="230"/>
      <c r="H561" s="230"/>
      <c r="I561" s="230"/>
      <c r="J561" s="230"/>
      <c r="K561" s="230"/>
      <c r="L561" s="230"/>
      <c r="M561" s="230"/>
      <c r="N561" s="315"/>
      <c r="O561" s="315"/>
      <c r="P561" s="315"/>
      <c r="Q561" s="315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315"/>
      <c r="AD561" s="315"/>
      <c r="AE561" s="315"/>
      <c r="AF561" s="315"/>
      <c r="AG561" s="315"/>
      <c r="AH561" s="315"/>
      <c r="AI561" s="315"/>
      <c r="AJ561" s="315"/>
      <c r="AK561" s="315"/>
      <c r="AL561" s="315"/>
      <c r="AM561" s="315"/>
      <c r="AN561" s="315"/>
      <c r="AO561" s="315"/>
      <c r="AP561" s="315"/>
      <c r="AQ561" s="319"/>
      <c r="AR561" s="319"/>
      <c r="AS561" s="319"/>
      <c r="AT561" s="319"/>
      <c r="AU561" s="319"/>
      <c r="AV561" s="319"/>
      <c r="AW561" s="261"/>
      <c r="AX561" s="261"/>
      <c r="AY561" s="261"/>
      <c r="AZ561" s="261"/>
      <c r="BA561" s="261"/>
      <c r="BB561" s="261"/>
      <c r="BC561" s="261"/>
      <c r="BD561" s="261"/>
      <c r="BE561" s="261"/>
      <c r="BF561" s="261"/>
      <c r="BG561" s="261"/>
      <c r="BH561" s="261"/>
      <c r="BI561" s="261"/>
      <c r="BJ561" s="261"/>
      <c r="BK561" s="261"/>
      <c r="BL561" s="261"/>
      <c r="BM561" s="261"/>
      <c r="BN561" s="261"/>
      <c r="BO561" s="261"/>
      <c r="BP561" s="261"/>
      <c r="BQ561" s="261"/>
      <c r="BR561" s="261"/>
      <c r="BS561" s="261"/>
      <c r="BT561" s="261"/>
      <c r="BU561" s="261"/>
      <c r="BV561" s="261"/>
      <c r="BW561" s="261"/>
    </row>
    <row r="562" spans="2:75">
      <c r="B562" s="230"/>
      <c r="C562" s="230"/>
      <c r="D562" s="230"/>
      <c r="E562" s="230"/>
      <c r="F562" s="230"/>
      <c r="G562" s="230"/>
      <c r="H562" s="230"/>
      <c r="I562" s="230"/>
      <c r="J562" s="230"/>
      <c r="K562" s="230"/>
      <c r="L562" s="230"/>
      <c r="M562" s="230"/>
      <c r="N562" s="315"/>
      <c r="O562" s="315"/>
      <c r="P562" s="315"/>
      <c r="Q562" s="315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315"/>
      <c r="AD562" s="315"/>
      <c r="AE562" s="315"/>
      <c r="AF562" s="315"/>
      <c r="AG562" s="315"/>
      <c r="AH562" s="315"/>
      <c r="AI562" s="315"/>
      <c r="AJ562" s="315"/>
      <c r="AK562" s="315"/>
      <c r="AL562" s="315"/>
      <c r="AM562" s="315"/>
      <c r="AN562" s="315"/>
      <c r="AO562" s="315"/>
      <c r="AP562" s="315"/>
      <c r="AQ562" s="319"/>
      <c r="AR562" s="319"/>
      <c r="AS562" s="319"/>
      <c r="AT562" s="319"/>
      <c r="AU562" s="319"/>
      <c r="AV562" s="319"/>
      <c r="AW562" s="261"/>
      <c r="AX562" s="261"/>
      <c r="AY562" s="261"/>
      <c r="AZ562" s="261"/>
      <c r="BA562" s="261"/>
      <c r="BB562" s="261"/>
      <c r="BC562" s="261"/>
      <c r="BD562" s="261"/>
      <c r="BE562" s="261"/>
      <c r="BF562" s="261"/>
      <c r="BG562" s="261"/>
      <c r="BH562" s="261"/>
      <c r="BI562" s="261"/>
      <c r="BJ562" s="261"/>
      <c r="BK562" s="261"/>
      <c r="BL562" s="261"/>
      <c r="BM562" s="261"/>
      <c r="BN562" s="261"/>
      <c r="BO562" s="261"/>
      <c r="BP562" s="261"/>
      <c r="BQ562" s="261"/>
      <c r="BR562" s="261"/>
      <c r="BS562" s="261"/>
      <c r="BT562" s="261"/>
      <c r="BU562" s="261"/>
      <c r="BV562" s="261"/>
      <c r="BW562" s="261"/>
    </row>
    <row r="563" spans="2:75">
      <c r="B563" s="230"/>
      <c r="C563" s="230"/>
      <c r="D563" s="230"/>
      <c r="E563" s="230"/>
      <c r="F563" s="230"/>
      <c r="G563" s="230"/>
      <c r="H563" s="230"/>
      <c r="I563" s="230"/>
      <c r="J563" s="230"/>
      <c r="K563" s="230"/>
      <c r="L563" s="230"/>
      <c r="M563" s="230"/>
      <c r="N563" s="315"/>
      <c r="O563" s="315"/>
      <c r="P563" s="315"/>
      <c r="Q563" s="315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315"/>
      <c r="AD563" s="315"/>
      <c r="AE563" s="315"/>
      <c r="AF563" s="315"/>
      <c r="AG563" s="315"/>
      <c r="AH563" s="315"/>
      <c r="AI563" s="315"/>
      <c r="AJ563" s="315"/>
      <c r="AK563" s="315"/>
      <c r="AL563" s="315"/>
      <c r="AM563" s="315"/>
      <c r="AN563" s="315"/>
      <c r="AO563" s="315"/>
      <c r="AP563" s="315"/>
      <c r="AQ563" s="319"/>
      <c r="AR563" s="319"/>
      <c r="AS563" s="319"/>
      <c r="AT563" s="319"/>
      <c r="AU563" s="319"/>
      <c r="AV563" s="319"/>
      <c r="AW563" s="261"/>
      <c r="AX563" s="261"/>
      <c r="AY563" s="261"/>
      <c r="AZ563" s="261"/>
      <c r="BA563" s="261"/>
      <c r="BB563" s="261"/>
      <c r="BC563" s="261"/>
      <c r="BD563" s="261"/>
      <c r="BE563" s="261"/>
      <c r="BF563" s="261"/>
      <c r="BG563" s="261"/>
      <c r="BH563" s="261"/>
      <c r="BI563" s="261"/>
      <c r="BJ563" s="261"/>
      <c r="BK563" s="261"/>
      <c r="BL563" s="261"/>
      <c r="BM563" s="261"/>
      <c r="BN563" s="261"/>
      <c r="BO563" s="261"/>
      <c r="BP563" s="261"/>
      <c r="BQ563" s="261"/>
      <c r="BR563" s="261"/>
      <c r="BS563" s="261"/>
      <c r="BT563" s="261"/>
      <c r="BU563" s="261"/>
      <c r="BV563" s="261"/>
      <c r="BW563" s="261"/>
    </row>
    <row r="564" spans="2:75">
      <c r="B564" s="230"/>
      <c r="C564" s="230"/>
      <c r="D564" s="230"/>
      <c r="E564" s="230"/>
      <c r="F564" s="230"/>
      <c r="G564" s="230"/>
      <c r="H564" s="230"/>
      <c r="I564" s="230"/>
      <c r="J564" s="230"/>
      <c r="K564" s="230"/>
      <c r="L564" s="230"/>
      <c r="M564" s="230"/>
      <c r="N564" s="315"/>
      <c r="O564" s="315"/>
      <c r="P564" s="315"/>
      <c r="Q564" s="315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315"/>
      <c r="AD564" s="315"/>
      <c r="AE564" s="315"/>
      <c r="AF564" s="315"/>
      <c r="AG564" s="315"/>
      <c r="AH564" s="315"/>
      <c r="AI564" s="315"/>
      <c r="AJ564" s="315"/>
      <c r="AK564" s="315"/>
      <c r="AL564" s="315"/>
      <c r="AM564" s="315"/>
      <c r="AN564" s="315"/>
      <c r="AO564" s="315"/>
      <c r="AP564" s="315"/>
      <c r="AQ564" s="319"/>
      <c r="AR564" s="319"/>
      <c r="AS564" s="319"/>
      <c r="AT564" s="319"/>
      <c r="AU564" s="319"/>
      <c r="AV564" s="319"/>
      <c r="AW564" s="261"/>
      <c r="AX564" s="261"/>
      <c r="AY564" s="261"/>
      <c r="AZ564" s="261"/>
      <c r="BA564" s="261"/>
      <c r="BB564" s="261"/>
      <c r="BC564" s="261"/>
      <c r="BD564" s="261"/>
      <c r="BE564" s="261"/>
      <c r="BF564" s="261"/>
      <c r="BG564" s="261"/>
      <c r="BH564" s="261"/>
      <c r="BI564" s="261"/>
      <c r="BJ564" s="261"/>
      <c r="BK564" s="261"/>
      <c r="BL564" s="261"/>
      <c r="BM564" s="261"/>
      <c r="BN564" s="261"/>
      <c r="BO564" s="261"/>
      <c r="BP564" s="261"/>
      <c r="BQ564" s="261"/>
      <c r="BR564" s="261"/>
      <c r="BS564" s="261"/>
      <c r="BT564" s="261"/>
      <c r="BU564" s="261"/>
      <c r="BV564" s="261"/>
      <c r="BW564" s="261"/>
    </row>
    <row r="565" spans="2:75">
      <c r="B565" s="230"/>
      <c r="C565" s="230"/>
      <c r="D565" s="230"/>
      <c r="E565" s="230"/>
      <c r="F565" s="230"/>
      <c r="G565" s="230"/>
      <c r="H565" s="230"/>
      <c r="I565" s="230"/>
      <c r="J565" s="230"/>
      <c r="K565" s="230"/>
      <c r="L565" s="230"/>
      <c r="M565" s="230"/>
      <c r="N565" s="315"/>
      <c r="O565" s="315"/>
      <c r="P565" s="315"/>
      <c r="Q565" s="315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315"/>
      <c r="AD565" s="315"/>
      <c r="AE565" s="315"/>
      <c r="AF565" s="315"/>
      <c r="AG565" s="315"/>
      <c r="AH565" s="315"/>
      <c r="AI565" s="315"/>
      <c r="AJ565" s="315"/>
      <c r="AK565" s="315"/>
      <c r="AL565" s="315"/>
      <c r="AM565" s="315"/>
      <c r="AN565" s="315"/>
      <c r="AO565" s="315"/>
      <c r="AP565" s="315"/>
      <c r="AQ565" s="319"/>
      <c r="AR565" s="319"/>
      <c r="AS565" s="319"/>
      <c r="AT565" s="319"/>
      <c r="AU565" s="319"/>
      <c r="AV565" s="319"/>
      <c r="AW565" s="261"/>
      <c r="AX565" s="261"/>
      <c r="AY565" s="261"/>
      <c r="AZ565" s="261"/>
      <c r="BA565" s="261"/>
      <c r="BB565" s="261"/>
      <c r="BC565" s="261"/>
      <c r="BD565" s="261"/>
      <c r="BE565" s="261"/>
      <c r="BF565" s="261"/>
      <c r="BG565" s="261"/>
      <c r="BH565" s="261"/>
      <c r="BI565" s="261"/>
      <c r="BJ565" s="261"/>
      <c r="BK565" s="261"/>
      <c r="BL565" s="261"/>
      <c r="BM565" s="261"/>
      <c r="BN565" s="261"/>
      <c r="BO565" s="261"/>
      <c r="BP565" s="261"/>
      <c r="BQ565" s="261"/>
      <c r="BR565" s="261"/>
      <c r="BS565" s="261"/>
      <c r="BT565" s="261"/>
      <c r="BU565" s="261"/>
      <c r="BV565" s="261"/>
      <c r="BW565" s="261"/>
    </row>
    <row r="566" spans="2:75">
      <c r="B566" s="230"/>
      <c r="C566" s="230"/>
      <c r="D566" s="230"/>
      <c r="E566" s="230"/>
      <c r="F566" s="230"/>
      <c r="G566" s="230"/>
      <c r="H566" s="230"/>
      <c r="I566" s="230"/>
      <c r="J566" s="230"/>
      <c r="K566" s="230"/>
      <c r="L566" s="230"/>
      <c r="M566" s="230"/>
      <c r="N566" s="315"/>
      <c r="O566" s="315"/>
      <c r="P566" s="315"/>
      <c r="Q566" s="315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315"/>
      <c r="AD566" s="315"/>
      <c r="AE566" s="315"/>
      <c r="AF566" s="315"/>
      <c r="AG566" s="315"/>
      <c r="AH566" s="315"/>
      <c r="AI566" s="315"/>
      <c r="AJ566" s="315"/>
      <c r="AK566" s="315"/>
      <c r="AL566" s="315"/>
      <c r="AM566" s="315"/>
      <c r="AN566" s="315"/>
      <c r="AO566" s="315"/>
      <c r="AP566" s="315"/>
      <c r="AQ566" s="319"/>
      <c r="AR566" s="319"/>
      <c r="AS566" s="319"/>
      <c r="AT566" s="319"/>
      <c r="AU566" s="319"/>
      <c r="AV566" s="319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1"/>
      <c r="BN566" s="261"/>
      <c r="BO566" s="261"/>
      <c r="BP566" s="261"/>
      <c r="BQ566" s="261"/>
      <c r="BR566" s="261"/>
      <c r="BS566" s="261"/>
      <c r="BT566" s="261"/>
      <c r="BU566" s="261"/>
      <c r="BV566" s="261"/>
      <c r="BW566" s="261"/>
    </row>
    <row r="567" spans="2:75">
      <c r="B567" s="230"/>
      <c r="C567" s="230"/>
      <c r="D567" s="230"/>
      <c r="E567" s="230"/>
      <c r="F567" s="230"/>
      <c r="G567" s="230"/>
      <c r="H567" s="230"/>
      <c r="I567" s="230"/>
      <c r="J567" s="230"/>
      <c r="K567" s="230"/>
      <c r="L567" s="230"/>
      <c r="M567" s="230"/>
      <c r="N567" s="315"/>
      <c r="O567" s="315"/>
      <c r="P567" s="315"/>
      <c r="Q567" s="315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315"/>
      <c r="AD567" s="315"/>
      <c r="AE567" s="315"/>
      <c r="AF567" s="315"/>
      <c r="AG567" s="315"/>
      <c r="AH567" s="315"/>
      <c r="AI567" s="315"/>
      <c r="AJ567" s="315"/>
      <c r="AK567" s="315"/>
      <c r="AL567" s="315"/>
      <c r="AM567" s="315"/>
      <c r="AN567" s="315"/>
      <c r="AO567" s="315"/>
      <c r="AP567" s="315"/>
      <c r="AQ567" s="319"/>
      <c r="AR567" s="319"/>
      <c r="AS567" s="319"/>
      <c r="AT567" s="319"/>
      <c r="AU567" s="319"/>
      <c r="AV567" s="319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1"/>
      <c r="BN567" s="261"/>
      <c r="BO567" s="261"/>
      <c r="BP567" s="261"/>
      <c r="BQ567" s="261"/>
      <c r="BR567" s="261"/>
      <c r="BS567" s="261"/>
      <c r="BT567" s="261"/>
      <c r="BU567" s="261"/>
      <c r="BV567" s="261"/>
      <c r="BW567" s="261"/>
    </row>
    <row r="568" spans="2:75">
      <c r="B568" s="230"/>
      <c r="C568" s="230"/>
      <c r="D568" s="230"/>
      <c r="E568" s="230"/>
      <c r="F568" s="230"/>
      <c r="G568" s="230"/>
      <c r="H568" s="230"/>
      <c r="I568" s="230"/>
      <c r="J568" s="230"/>
      <c r="K568" s="230"/>
      <c r="L568" s="230"/>
      <c r="M568" s="230"/>
      <c r="N568" s="315"/>
      <c r="O568" s="315"/>
      <c r="P568" s="315"/>
      <c r="Q568" s="315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315"/>
      <c r="AD568" s="315"/>
      <c r="AE568" s="315"/>
      <c r="AF568" s="315"/>
      <c r="AG568" s="315"/>
      <c r="AH568" s="315"/>
      <c r="AI568" s="315"/>
      <c r="AJ568" s="315"/>
      <c r="AK568" s="315"/>
      <c r="AL568" s="315"/>
      <c r="AM568" s="315"/>
      <c r="AN568" s="315"/>
      <c r="AO568" s="315"/>
      <c r="AP568" s="315"/>
      <c r="AQ568" s="319"/>
      <c r="AR568" s="319"/>
      <c r="AS568" s="319"/>
      <c r="AT568" s="319"/>
      <c r="AU568" s="319"/>
      <c r="AV568" s="319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1"/>
      <c r="BN568" s="261"/>
      <c r="BO568" s="261"/>
      <c r="BP568" s="261"/>
      <c r="BQ568" s="261"/>
      <c r="BR568" s="261"/>
      <c r="BS568" s="261"/>
      <c r="BT568" s="261"/>
      <c r="BU568" s="261"/>
      <c r="BV568" s="261"/>
      <c r="BW568" s="261"/>
    </row>
    <row r="569" spans="2:75">
      <c r="B569" s="230"/>
      <c r="C569" s="230"/>
      <c r="D569" s="230"/>
      <c r="E569" s="230"/>
      <c r="F569" s="230"/>
      <c r="G569" s="230"/>
      <c r="H569" s="230"/>
      <c r="I569" s="230"/>
      <c r="J569" s="230"/>
      <c r="K569" s="230"/>
      <c r="L569" s="230"/>
      <c r="M569" s="230"/>
      <c r="N569" s="315"/>
      <c r="O569" s="315"/>
      <c r="P569" s="315"/>
      <c r="Q569" s="315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315"/>
      <c r="AD569" s="315"/>
      <c r="AE569" s="315"/>
      <c r="AF569" s="315"/>
      <c r="AG569" s="315"/>
      <c r="AH569" s="315"/>
      <c r="AI569" s="315"/>
      <c r="AJ569" s="315"/>
      <c r="AK569" s="315"/>
      <c r="AL569" s="315"/>
      <c r="AM569" s="315"/>
      <c r="AN569" s="315"/>
      <c r="AO569" s="315"/>
      <c r="AP569" s="315"/>
      <c r="AQ569" s="319"/>
      <c r="AR569" s="319"/>
      <c r="AS569" s="319"/>
      <c r="AT569" s="319"/>
      <c r="AU569" s="319"/>
      <c r="AV569" s="319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1"/>
      <c r="BN569" s="261"/>
      <c r="BO569" s="261"/>
      <c r="BP569" s="261"/>
      <c r="BQ569" s="261"/>
      <c r="BR569" s="261"/>
      <c r="BS569" s="261"/>
      <c r="BT569" s="261"/>
      <c r="BU569" s="261"/>
      <c r="BV569" s="261"/>
      <c r="BW569" s="261"/>
    </row>
    <row r="570" spans="2:75">
      <c r="B570" s="230"/>
      <c r="C570" s="230"/>
      <c r="D570" s="230"/>
      <c r="E570" s="230"/>
      <c r="F570" s="230"/>
      <c r="G570" s="230"/>
      <c r="H570" s="230"/>
      <c r="I570" s="230"/>
      <c r="J570" s="230"/>
      <c r="K570" s="230"/>
      <c r="L570" s="230"/>
      <c r="M570" s="230"/>
      <c r="N570" s="315"/>
      <c r="O570" s="315"/>
      <c r="P570" s="315"/>
      <c r="Q570" s="315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315"/>
      <c r="AD570" s="315"/>
      <c r="AE570" s="315"/>
      <c r="AF570" s="315"/>
      <c r="AG570" s="315"/>
      <c r="AH570" s="315"/>
      <c r="AI570" s="315"/>
      <c r="AJ570" s="315"/>
      <c r="AK570" s="315"/>
      <c r="AL570" s="315"/>
      <c r="AM570" s="315"/>
      <c r="AN570" s="315"/>
      <c r="AO570" s="315"/>
      <c r="AP570" s="315"/>
      <c r="AQ570" s="319"/>
      <c r="AR570" s="319"/>
      <c r="AS570" s="319"/>
      <c r="AT570" s="319"/>
      <c r="AU570" s="319"/>
      <c r="AV570" s="319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1"/>
      <c r="BN570" s="261"/>
      <c r="BO570" s="261"/>
      <c r="BP570" s="261"/>
      <c r="BQ570" s="261"/>
      <c r="BR570" s="261"/>
      <c r="BS570" s="261"/>
      <c r="BT570" s="261"/>
      <c r="BU570" s="261"/>
      <c r="BV570" s="261"/>
      <c r="BW570" s="261"/>
    </row>
    <row r="571" spans="2:75">
      <c r="B571" s="230"/>
      <c r="C571" s="230"/>
      <c r="D571" s="230"/>
      <c r="E571" s="230"/>
      <c r="F571" s="230"/>
      <c r="G571" s="230"/>
      <c r="H571" s="230"/>
      <c r="I571" s="230"/>
      <c r="J571" s="230"/>
      <c r="K571" s="230"/>
      <c r="L571" s="230"/>
      <c r="M571" s="230"/>
      <c r="N571" s="315"/>
      <c r="O571" s="315"/>
      <c r="P571" s="315"/>
      <c r="Q571" s="315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315"/>
      <c r="AD571" s="315"/>
      <c r="AE571" s="315"/>
      <c r="AF571" s="315"/>
      <c r="AG571" s="315"/>
      <c r="AH571" s="315"/>
      <c r="AI571" s="315"/>
      <c r="AJ571" s="315"/>
      <c r="AK571" s="315"/>
      <c r="AL571" s="315"/>
      <c r="AM571" s="315"/>
      <c r="AN571" s="315"/>
      <c r="AO571" s="315"/>
      <c r="AP571" s="315"/>
      <c r="AQ571" s="319"/>
      <c r="AR571" s="319"/>
      <c r="AS571" s="319"/>
      <c r="AT571" s="319"/>
      <c r="AU571" s="319"/>
      <c r="AV571" s="319"/>
      <c r="AW571" s="261"/>
      <c r="AX571" s="261"/>
      <c r="AY571" s="261"/>
      <c r="AZ571" s="261"/>
      <c r="BA571" s="261"/>
      <c r="BB571" s="261"/>
      <c r="BC571" s="261"/>
      <c r="BD571" s="261"/>
      <c r="BE571" s="261"/>
      <c r="BF571" s="261"/>
      <c r="BG571" s="261"/>
      <c r="BH571" s="261"/>
      <c r="BI571" s="261"/>
      <c r="BJ571" s="261"/>
      <c r="BK571" s="261"/>
      <c r="BL571" s="261"/>
      <c r="BM571" s="261"/>
      <c r="BN571" s="261"/>
      <c r="BO571" s="261"/>
      <c r="BP571" s="261"/>
      <c r="BQ571" s="261"/>
      <c r="BR571" s="261"/>
      <c r="BS571" s="261"/>
      <c r="BT571" s="261"/>
      <c r="BU571" s="261"/>
      <c r="BV571" s="261"/>
      <c r="BW571" s="261"/>
    </row>
    <row r="572" spans="2:75">
      <c r="B572" s="230"/>
      <c r="C572" s="230"/>
      <c r="D572" s="230"/>
      <c r="E572" s="230"/>
      <c r="F572" s="230"/>
      <c r="G572" s="230"/>
      <c r="H572" s="230"/>
      <c r="I572" s="230"/>
      <c r="J572" s="230"/>
      <c r="K572" s="230"/>
      <c r="L572" s="230"/>
      <c r="M572" s="230"/>
      <c r="N572" s="315"/>
      <c r="O572" s="315"/>
      <c r="P572" s="315"/>
      <c r="Q572" s="315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315"/>
      <c r="AD572" s="315"/>
      <c r="AE572" s="315"/>
      <c r="AF572" s="315"/>
      <c r="AG572" s="315"/>
      <c r="AH572" s="315"/>
      <c r="AI572" s="315"/>
      <c r="AJ572" s="315"/>
      <c r="AK572" s="315"/>
      <c r="AL572" s="315"/>
      <c r="AM572" s="315"/>
      <c r="AN572" s="315"/>
      <c r="AO572" s="315"/>
      <c r="AP572" s="315"/>
      <c r="AQ572" s="319"/>
      <c r="AR572" s="319"/>
      <c r="AS572" s="319"/>
      <c r="AT572" s="319"/>
      <c r="AU572" s="319"/>
      <c r="AV572" s="319"/>
      <c r="AW572" s="261"/>
      <c r="AX572" s="261"/>
      <c r="AY572" s="261"/>
      <c r="AZ572" s="261"/>
      <c r="BA572" s="261"/>
      <c r="BB572" s="261"/>
      <c r="BC572" s="261"/>
      <c r="BD572" s="261"/>
      <c r="BE572" s="261"/>
      <c r="BF572" s="261"/>
      <c r="BG572" s="261"/>
      <c r="BH572" s="261"/>
      <c r="BI572" s="261"/>
      <c r="BJ572" s="261"/>
      <c r="BK572" s="261"/>
      <c r="BL572" s="261"/>
      <c r="BM572" s="261"/>
      <c r="BN572" s="261"/>
      <c r="BO572" s="261"/>
      <c r="BP572" s="261"/>
      <c r="BQ572" s="261"/>
      <c r="BR572" s="261"/>
      <c r="BS572" s="261"/>
      <c r="BT572" s="261"/>
      <c r="BU572" s="261"/>
      <c r="BV572" s="261"/>
      <c r="BW572" s="261"/>
    </row>
    <row r="573" spans="2:75">
      <c r="B573" s="230"/>
      <c r="C573" s="230"/>
      <c r="D573" s="230"/>
      <c r="E573" s="230"/>
      <c r="F573" s="230"/>
      <c r="G573" s="230"/>
      <c r="H573" s="230"/>
      <c r="I573" s="230"/>
      <c r="J573" s="230"/>
      <c r="K573" s="230"/>
      <c r="L573" s="230"/>
      <c r="M573" s="230"/>
      <c r="N573" s="315"/>
      <c r="O573" s="315"/>
      <c r="P573" s="315"/>
      <c r="Q573" s="315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315"/>
      <c r="AD573" s="315"/>
      <c r="AE573" s="315"/>
      <c r="AF573" s="315"/>
      <c r="AG573" s="315"/>
      <c r="AH573" s="315"/>
      <c r="AI573" s="315"/>
      <c r="AJ573" s="315"/>
      <c r="AK573" s="315"/>
      <c r="AL573" s="315"/>
      <c r="AM573" s="315"/>
      <c r="AN573" s="315"/>
      <c r="AO573" s="315"/>
      <c r="AP573" s="315"/>
      <c r="AQ573" s="319"/>
      <c r="AR573" s="319"/>
      <c r="AS573" s="319"/>
      <c r="AT573" s="319"/>
      <c r="AU573" s="319"/>
      <c r="AV573" s="319"/>
      <c r="AW573" s="261"/>
      <c r="AX573" s="261"/>
      <c r="AY573" s="261"/>
      <c r="AZ573" s="261"/>
      <c r="BA573" s="261"/>
      <c r="BB573" s="261"/>
      <c r="BC573" s="261"/>
      <c r="BD573" s="261"/>
      <c r="BE573" s="261"/>
      <c r="BF573" s="261"/>
      <c r="BG573" s="261"/>
      <c r="BH573" s="261"/>
      <c r="BI573" s="261"/>
      <c r="BJ573" s="261"/>
      <c r="BK573" s="261"/>
      <c r="BL573" s="261"/>
      <c r="BM573" s="261"/>
      <c r="BN573" s="261"/>
      <c r="BO573" s="261"/>
      <c r="BP573" s="261"/>
      <c r="BQ573" s="261"/>
      <c r="BR573" s="261"/>
      <c r="BS573" s="261"/>
      <c r="BT573" s="261"/>
      <c r="BU573" s="261"/>
      <c r="BV573" s="261"/>
      <c r="BW573" s="261"/>
    </row>
    <row r="574" spans="2:75">
      <c r="B574" s="230"/>
      <c r="C574" s="230"/>
      <c r="D574" s="230"/>
      <c r="E574" s="230"/>
      <c r="F574" s="230"/>
      <c r="G574" s="230"/>
      <c r="H574" s="230"/>
      <c r="I574" s="230"/>
      <c r="J574" s="230"/>
      <c r="K574" s="230"/>
      <c r="L574" s="230"/>
      <c r="M574" s="230"/>
      <c r="N574" s="315"/>
      <c r="O574" s="315"/>
      <c r="P574" s="315"/>
      <c r="Q574" s="315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315"/>
      <c r="AD574" s="315"/>
      <c r="AE574" s="315"/>
      <c r="AF574" s="315"/>
      <c r="AG574" s="315"/>
      <c r="AH574" s="315"/>
      <c r="AI574" s="315"/>
      <c r="AJ574" s="315"/>
      <c r="AK574" s="315"/>
      <c r="AL574" s="315"/>
      <c r="AM574" s="315"/>
      <c r="AN574" s="315"/>
      <c r="AO574" s="315"/>
      <c r="AP574" s="315"/>
      <c r="AQ574" s="319"/>
      <c r="AR574" s="319"/>
      <c r="AS574" s="319"/>
      <c r="AT574" s="319"/>
      <c r="AU574" s="319"/>
      <c r="AV574" s="319"/>
      <c r="AW574" s="261"/>
      <c r="AX574" s="261"/>
      <c r="AY574" s="261"/>
      <c r="AZ574" s="261"/>
      <c r="BA574" s="261"/>
      <c r="BB574" s="261"/>
      <c r="BC574" s="261"/>
      <c r="BD574" s="261"/>
      <c r="BE574" s="261"/>
      <c r="BF574" s="261"/>
      <c r="BG574" s="261"/>
      <c r="BH574" s="261"/>
      <c r="BI574" s="261"/>
      <c r="BJ574" s="261"/>
      <c r="BK574" s="261"/>
      <c r="BL574" s="261"/>
      <c r="BM574" s="261"/>
      <c r="BN574" s="261"/>
      <c r="BO574" s="261"/>
      <c r="BP574" s="261"/>
      <c r="BQ574" s="261"/>
      <c r="BR574" s="261"/>
      <c r="BS574" s="261"/>
      <c r="BT574" s="261"/>
      <c r="BU574" s="261"/>
      <c r="BV574" s="261"/>
      <c r="BW574" s="261"/>
    </row>
    <row r="575" spans="2:75">
      <c r="B575" s="230"/>
      <c r="C575" s="230"/>
      <c r="D575" s="230"/>
      <c r="E575" s="230"/>
      <c r="F575" s="230"/>
      <c r="G575" s="230"/>
      <c r="H575" s="230"/>
      <c r="I575" s="230"/>
      <c r="J575" s="230"/>
      <c r="K575" s="230"/>
      <c r="L575" s="230"/>
      <c r="M575" s="230"/>
      <c r="N575" s="315"/>
      <c r="O575" s="315"/>
      <c r="P575" s="315"/>
      <c r="Q575" s="315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315"/>
      <c r="AD575" s="315"/>
      <c r="AE575" s="315"/>
      <c r="AF575" s="315"/>
      <c r="AG575" s="315"/>
      <c r="AH575" s="315"/>
      <c r="AI575" s="315"/>
      <c r="AJ575" s="315"/>
      <c r="AK575" s="315"/>
      <c r="AL575" s="315"/>
      <c r="AM575" s="315"/>
      <c r="AN575" s="315"/>
      <c r="AO575" s="315"/>
      <c r="AP575" s="315"/>
      <c r="AQ575" s="319"/>
      <c r="AR575" s="319"/>
      <c r="AS575" s="319"/>
      <c r="AT575" s="319"/>
      <c r="AU575" s="319"/>
      <c r="AV575" s="319"/>
      <c r="AW575" s="261"/>
      <c r="AX575" s="261"/>
      <c r="AY575" s="261"/>
      <c r="AZ575" s="261"/>
      <c r="BA575" s="261"/>
      <c r="BB575" s="261"/>
      <c r="BC575" s="261"/>
      <c r="BD575" s="261"/>
      <c r="BE575" s="261"/>
      <c r="BF575" s="261"/>
      <c r="BG575" s="261"/>
      <c r="BH575" s="261"/>
      <c r="BI575" s="261"/>
      <c r="BJ575" s="261"/>
      <c r="BK575" s="261"/>
      <c r="BL575" s="261"/>
      <c r="BM575" s="261"/>
      <c r="BN575" s="261"/>
      <c r="BO575" s="261"/>
      <c r="BP575" s="261"/>
      <c r="BQ575" s="261"/>
      <c r="BR575" s="261"/>
      <c r="BS575" s="261"/>
      <c r="BT575" s="261"/>
      <c r="BU575" s="261"/>
      <c r="BV575" s="261"/>
      <c r="BW575" s="261"/>
    </row>
    <row r="576" spans="2:75">
      <c r="B576" s="230"/>
      <c r="C576" s="230"/>
      <c r="D576" s="230"/>
      <c r="E576" s="230"/>
      <c r="F576" s="230"/>
      <c r="G576" s="230"/>
      <c r="H576" s="230"/>
      <c r="I576" s="230"/>
      <c r="J576" s="230"/>
      <c r="K576" s="230"/>
      <c r="L576" s="230"/>
      <c r="M576" s="230"/>
      <c r="N576" s="315"/>
      <c r="O576" s="315"/>
      <c r="P576" s="315"/>
      <c r="Q576" s="315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315"/>
      <c r="AD576" s="315"/>
      <c r="AE576" s="315"/>
      <c r="AF576" s="315"/>
      <c r="AG576" s="315"/>
      <c r="AH576" s="315"/>
      <c r="AI576" s="315"/>
      <c r="AJ576" s="315"/>
      <c r="AK576" s="315"/>
      <c r="AL576" s="315"/>
      <c r="AM576" s="315"/>
      <c r="AN576" s="315"/>
      <c r="AO576" s="315"/>
      <c r="AP576" s="315"/>
      <c r="AQ576" s="319"/>
      <c r="AR576" s="319"/>
      <c r="AS576" s="319"/>
      <c r="AT576" s="319"/>
      <c r="AU576" s="319"/>
      <c r="AV576" s="319"/>
      <c r="AW576" s="261"/>
      <c r="AX576" s="261"/>
      <c r="AY576" s="261"/>
      <c r="AZ576" s="261"/>
      <c r="BA576" s="261"/>
      <c r="BB576" s="261"/>
      <c r="BC576" s="261"/>
      <c r="BD576" s="261"/>
      <c r="BE576" s="261"/>
      <c r="BF576" s="261"/>
      <c r="BG576" s="261"/>
      <c r="BH576" s="261"/>
      <c r="BI576" s="261"/>
      <c r="BJ576" s="261"/>
      <c r="BK576" s="261"/>
      <c r="BL576" s="261"/>
      <c r="BM576" s="261"/>
      <c r="BN576" s="261"/>
      <c r="BO576" s="261"/>
      <c r="BP576" s="261"/>
      <c r="BQ576" s="261"/>
      <c r="BR576" s="261"/>
      <c r="BS576" s="261"/>
      <c r="BT576" s="261"/>
      <c r="BU576" s="261"/>
      <c r="BV576" s="261"/>
      <c r="BW576" s="261"/>
    </row>
    <row r="577" spans="2:75">
      <c r="B577" s="230"/>
      <c r="C577" s="230"/>
      <c r="D577" s="230"/>
      <c r="E577" s="230"/>
      <c r="F577" s="230"/>
      <c r="G577" s="230"/>
      <c r="H577" s="230"/>
      <c r="I577" s="230"/>
      <c r="J577" s="230"/>
      <c r="K577" s="230"/>
      <c r="L577" s="230"/>
      <c r="M577" s="230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  <c r="AH577" s="229"/>
      <c r="AI577" s="229"/>
      <c r="AJ577" s="229"/>
      <c r="AK577" s="229"/>
      <c r="AL577" s="229"/>
      <c r="AM577" s="229"/>
      <c r="AN577" s="229"/>
      <c r="AO577" s="229"/>
      <c r="AP577" s="229"/>
      <c r="AQ577" s="261"/>
      <c r="AR577" s="261"/>
      <c r="AS577" s="261"/>
      <c r="AT577" s="261"/>
      <c r="AU577" s="261"/>
      <c r="AV577" s="261"/>
      <c r="AW577" s="261"/>
      <c r="AX577" s="261"/>
      <c r="AY577" s="261"/>
      <c r="AZ577" s="261"/>
      <c r="BA577" s="261"/>
      <c r="BB577" s="261"/>
      <c r="BC577" s="261"/>
      <c r="BD577" s="261"/>
      <c r="BE577" s="261"/>
      <c r="BF577" s="261"/>
      <c r="BG577" s="261"/>
      <c r="BH577" s="261"/>
      <c r="BI577" s="261"/>
      <c r="BJ577" s="261"/>
      <c r="BK577" s="261"/>
      <c r="BL577" s="261"/>
      <c r="BM577" s="261"/>
      <c r="BN577" s="261"/>
      <c r="BO577" s="261"/>
      <c r="BP577" s="261"/>
      <c r="BQ577" s="261"/>
      <c r="BR577" s="261"/>
      <c r="BS577" s="261"/>
      <c r="BT577" s="261"/>
      <c r="BU577" s="261"/>
      <c r="BV577" s="261"/>
      <c r="BW577" s="261"/>
    </row>
    <row r="578" spans="2:75">
      <c r="N578" s="261"/>
      <c r="O578" s="261"/>
      <c r="P578" s="261"/>
      <c r="Q578" s="261"/>
      <c r="R578" s="261"/>
      <c r="S578" s="261"/>
      <c r="T578" s="261"/>
      <c r="U578" s="261"/>
      <c r="V578" s="261"/>
      <c r="W578" s="261"/>
      <c r="X578" s="261"/>
      <c r="Y578" s="229"/>
      <c r="Z578" s="229"/>
      <c r="AA578" s="229"/>
      <c r="AB578" s="229"/>
      <c r="AC578" s="229"/>
      <c r="AD578" s="229"/>
      <c r="AE578" s="229"/>
      <c r="AF578" s="229"/>
      <c r="AG578" s="229"/>
      <c r="AH578" s="229"/>
      <c r="AI578" s="229"/>
      <c r="AJ578" s="229"/>
      <c r="AK578" s="229"/>
      <c r="AL578" s="229"/>
      <c r="AM578" s="229"/>
      <c r="AN578" s="229"/>
      <c r="AO578" s="229"/>
      <c r="AP578" s="229"/>
      <c r="AQ578" s="261"/>
      <c r="AR578" s="261"/>
      <c r="AS578" s="261"/>
      <c r="AT578" s="261"/>
      <c r="AU578" s="261"/>
      <c r="AV578" s="261"/>
      <c r="AW578" s="261"/>
      <c r="AX578" s="261"/>
      <c r="AY578" s="261"/>
      <c r="AZ578" s="261"/>
      <c r="BA578" s="261"/>
      <c r="BB578" s="261"/>
      <c r="BC578" s="261"/>
      <c r="BD578" s="261"/>
      <c r="BE578" s="261"/>
      <c r="BF578" s="261"/>
      <c r="BG578" s="261"/>
      <c r="BH578" s="261"/>
      <c r="BI578" s="261"/>
      <c r="BJ578" s="261"/>
      <c r="BK578" s="261"/>
      <c r="BL578" s="261"/>
      <c r="BM578" s="261"/>
      <c r="BN578" s="261"/>
      <c r="BO578" s="261"/>
      <c r="BP578" s="261"/>
      <c r="BQ578" s="261"/>
      <c r="BR578" s="261"/>
      <c r="BS578" s="261"/>
      <c r="BT578" s="261"/>
      <c r="BU578" s="261"/>
      <c r="BV578" s="261"/>
      <c r="BW578" s="261"/>
    </row>
    <row r="579" spans="2:75">
      <c r="N579" s="261"/>
      <c r="O579" s="261"/>
      <c r="P579" s="261"/>
      <c r="Q579" s="261"/>
      <c r="R579" s="261"/>
      <c r="S579" s="261"/>
      <c r="T579" s="261"/>
      <c r="U579" s="261"/>
      <c r="V579" s="261"/>
      <c r="W579" s="261"/>
      <c r="X579" s="261"/>
      <c r="Y579" s="229"/>
      <c r="Z579" s="229"/>
      <c r="AA579" s="229"/>
      <c r="AB579" s="229"/>
      <c r="AC579" s="229"/>
      <c r="AD579" s="229"/>
      <c r="AE579" s="229"/>
      <c r="AF579" s="229"/>
      <c r="AG579" s="229"/>
      <c r="AH579" s="229"/>
      <c r="AI579" s="229"/>
      <c r="AJ579" s="229"/>
      <c r="AK579" s="229"/>
      <c r="AL579" s="229"/>
      <c r="AM579" s="229"/>
      <c r="AN579" s="229"/>
      <c r="AO579" s="229"/>
      <c r="AP579" s="229"/>
      <c r="AQ579" s="261"/>
      <c r="AR579" s="261"/>
      <c r="AS579" s="261"/>
      <c r="AT579" s="261"/>
      <c r="AU579" s="261"/>
      <c r="AV579" s="261"/>
      <c r="AW579" s="261"/>
      <c r="AX579" s="261"/>
      <c r="AY579" s="261"/>
      <c r="AZ579" s="261"/>
      <c r="BA579" s="261"/>
      <c r="BB579" s="261"/>
      <c r="BC579" s="261"/>
      <c r="BD579" s="261"/>
      <c r="BE579" s="261"/>
      <c r="BF579" s="261"/>
      <c r="BG579" s="261"/>
      <c r="BH579" s="261"/>
      <c r="BI579" s="261"/>
      <c r="BJ579" s="261"/>
      <c r="BK579" s="261"/>
      <c r="BL579" s="261"/>
      <c r="BM579" s="261"/>
      <c r="BN579" s="261"/>
      <c r="BO579" s="261"/>
      <c r="BP579" s="261"/>
      <c r="BQ579" s="261"/>
      <c r="BR579" s="261"/>
      <c r="BS579" s="261"/>
      <c r="BT579" s="261"/>
      <c r="BU579" s="261"/>
      <c r="BV579" s="261"/>
      <c r="BW579" s="261"/>
    </row>
    <row r="580" spans="2:75">
      <c r="N580" s="261"/>
      <c r="O580" s="261"/>
      <c r="P580" s="261"/>
      <c r="Q580" s="261"/>
      <c r="R580" s="261"/>
      <c r="S580" s="261"/>
      <c r="T580" s="261"/>
      <c r="U580" s="261"/>
      <c r="V580" s="261"/>
      <c r="W580" s="261"/>
      <c r="X580" s="261"/>
      <c r="Y580" s="229"/>
      <c r="Z580" s="229"/>
      <c r="AA580" s="229"/>
      <c r="AB580" s="229"/>
      <c r="AC580" s="229"/>
      <c r="AD580" s="229"/>
      <c r="AE580" s="229"/>
      <c r="AF580" s="229"/>
      <c r="AG580" s="229"/>
      <c r="AH580" s="229"/>
      <c r="AI580" s="229"/>
      <c r="AJ580" s="229"/>
      <c r="AK580" s="229"/>
      <c r="AL580" s="229"/>
      <c r="AM580" s="229"/>
      <c r="AN580" s="229"/>
      <c r="AO580" s="229"/>
      <c r="AP580" s="229"/>
      <c r="AQ580" s="261"/>
      <c r="AR580" s="261"/>
      <c r="AS580" s="261"/>
      <c r="AT580" s="261"/>
      <c r="AU580" s="261"/>
      <c r="AV580" s="261"/>
      <c r="AW580" s="261"/>
      <c r="AX580" s="261"/>
      <c r="AY580" s="261"/>
      <c r="AZ580" s="261"/>
      <c r="BA580" s="261"/>
      <c r="BB580" s="261"/>
      <c r="BC580" s="261"/>
      <c r="BD580" s="261"/>
      <c r="BE580" s="261"/>
      <c r="BF580" s="261"/>
      <c r="BG580" s="261"/>
      <c r="BH580" s="261"/>
      <c r="BI580" s="261"/>
      <c r="BJ580" s="261"/>
      <c r="BK580" s="261"/>
      <c r="BL580" s="261"/>
      <c r="BM580" s="261"/>
      <c r="BN580" s="261"/>
      <c r="BO580" s="261"/>
      <c r="BP580" s="261"/>
      <c r="BQ580" s="261"/>
      <c r="BR580" s="261"/>
      <c r="BS580" s="261"/>
      <c r="BT580" s="261"/>
      <c r="BU580" s="261"/>
      <c r="BV580" s="261"/>
      <c r="BW580" s="261"/>
    </row>
    <row r="581" spans="2:75"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29"/>
      <c r="Z581" s="229"/>
      <c r="AA581" s="229"/>
      <c r="AB581" s="229"/>
      <c r="AC581" s="229"/>
      <c r="AD581" s="229"/>
      <c r="AE581" s="229"/>
      <c r="AF581" s="229"/>
      <c r="AG581" s="229"/>
      <c r="AH581" s="229"/>
      <c r="AI581" s="229"/>
      <c r="AJ581" s="229"/>
      <c r="AK581" s="229"/>
      <c r="AL581" s="229"/>
      <c r="AM581" s="229"/>
      <c r="AN581" s="229"/>
      <c r="AO581" s="229"/>
      <c r="AP581" s="229"/>
      <c r="AQ581" s="261"/>
      <c r="AR581" s="261"/>
      <c r="AS581" s="261"/>
      <c r="AT581" s="261"/>
      <c r="AU581" s="261"/>
      <c r="AV581" s="261"/>
      <c r="AW581" s="261"/>
      <c r="AX581" s="261"/>
      <c r="AY581" s="261"/>
      <c r="AZ581" s="261"/>
      <c r="BA581" s="261"/>
      <c r="BB581" s="261"/>
      <c r="BC581" s="261"/>
      <c r="BD581" s="261"/>
      <c r="BE581" s="261"/>
      <c r="BF581" s="261"/>
      <c r="BG581" s="261"/>
      <c r="BH581" s="261"/>
      <c r="BI581" s="261"/>
      <c r="BJ581" s="261"/>
      <c r="BK581" s="261"/>
      <c r="BL581" s="261"/>
      <c r="BM581" s="261"/>
      <c r="BN581" s="261"/>
      <c r="BO581" s="261"/>
      <c r="BP581" s="261"/>
      <c r="BQ581" s="261"/>
      <c r="BR581" s="261"/>
      <c r="BS581" s="261"/>
      <c r="BT581" s="261"/>
      <c r="BU581" s="261"/>
      <c r="BV581" s="261"/>
      <c r="BW581" s="261"/>
    </row>
    <row r="582" spans="2:75">
      <c r="N582" s="261"/>
      <c r="O582" s="261"/>
      <c r="P582" s="261"/>
      <c r="Q582" s="261"/>
      <c r="R582" s="261"/>
      <c r="S582" s="261"/>
      <c r="T582" s="261"/>
      <c r="U582" s="261"/>
      <c r="V582" s="261"/>
      <c r="W582" s="261"/>
      <c r="X582" s="261"/>
      <c r="Y582" s="229"/>
      <c r="Z582" s="229"/>
      <c r="AA582" s="229"/>
      <c r="AB582" s="229"/>
      <c r="AC582" s="229"/>
      <c r="AD582" s="229"/>
      <c r="AE582" s="229"/>
      <c r="AF582" s="229"/>
      <c r="AG582" s="229"/>
      <c r="AH582" s="229"/>
      <c r="AI582" s="229"/>
      <c r="AJ582" s="229"/>
      <c r="AK582" s="229"/>
      <c r="AL582" s="229"/>
      <c r="AM582" s="229"/>
      <c r="AN582" s="229"/>
      <c r="AO582" s="229"/>
      <c r="AP582" s="229"/>
      <c r="AQ582" s="261"/>
      <c r="AR582" s="261"/>
      <c r="AS582" s="261"/>
      <c r="AT582" s="261"/>
      <c r="AU582" s="261"/>
      <c r="AV582" s="261"/>
      <c r="AW582" s="261"/>
      <c r="AX582" s="261"/>
      <c r="AY582" s="261"/>
      <c r="AZ582" s="261"/>
      <c r="BA582" s="261"/>
      <c r="BB582" s="261"/>
      <c r="BC582" s="261"/>
      <c r="BD582" s="261"/>
      <c r="BE582" s="261"/>
      <c r="BF582" s="261"/>
      <c r="BG582" s="261"/>
      <c r="BH582" s="261"/>
      <c r="BI582" s="261"/>
      <c r="BJ582" s="261"/>
      <c r="BK582" s="261"/>
      <c r="BL582" s="261"/>
      <c r="BM582" s="261"/>
      <c r="BN582" s="261"/>
      <c r="BO582" s="261"/>
      <c r="BP582" s="261"/>
      <c r="BQ582" s="261"/>
      <c r="BR582" s="261"/>
      <c r="BS582" s="261"/>
      <c r="BT582" s="261"/>
      <c r="BU582" s="261"/>
      <c r="BV582" s="261"/>
      <c r="BW582" s="261"/>
    </row>
    <row r="583" spans="2:75">
      <c r="N583" s="261"/>
      <c r="O583" s="261"/>
      <c r="P583" s="261"/>
      <c r="Q583" s="261"/>
      <c r="R583" s="261"/>
      <c r="S583" s="261"/>
      <c r="T583" s="261"/>
      <c r="U583" s="261"/>
      <c r="V583" s="261"/>
      <c r="W583" s="261"/>
      <c r="X583" s="261"/>
      <c r="Y583" s="229"/>
      <c r="Z583" s="229"/>
      <c r="AA583" s="229"/>
      <c r="AB583" s="229"/>
      <c r="AC583" s="229"/>
      <c r="AD583" s="229"/>
      <c r="AE583" s="229"/>
      <c r="AF583" s="229"/>
      <c r="AG583" s="229"/>
      <c r="AH583" s="229"/>
      <c r="AI583" s="229"/>
      <c r="AJ583" s="229"/>
      <c r="AK583" s="229"/>
      <c r="AL583" s="229"/>
      <c r="AM583" s="229"/>
      <c r="AN583" s="229"/>
      <c r="AO583" s="229"/>
      <c r="AP583" s="229"/>
      <c r="AQ583" s="261"/>
      <c r="AR583" s="261"/>
      <c r="AS583" s="261"/>
      <c r="AT583" s="261"/>
      <c r="AU583" s="261"/>
      <c r="AV583" s="261"/>
      <c r="AW583" s="261"/>
      <c r="AX583" s="261"/>
      <c r="AY583" s="261"/>
      <c r="AZ583" s="261"/>
      <c r="BA583" s="261"/>
      <c r="BB583" s="261"/>
      <c r="BC583" s="261"/>
      <c r="BD583" s="261"/>
      <c r="BE583" s="261"/>
      <c r="BF583" s="261"/>
      <c r="BG583" s="261"/>
      <c r="BH583" s="261"/>
      <c r="BI583" s="261"/>
      <c r="BJ583" s="261"/>
      <c r="BK583" s="261"/>
      <c r="BL583" s="261"/>
      <c r="BM583" s="261"/>
      <c r="BN583" s="261"/>
      <c r="BO583" s="261"/>
      <c r="BP583" s="261"/>
      <c r="BQ583" s="261"/>
      <c r="BR583" s="261"/>
      <c r="BS583" s="261"/>
      <c r="BT583" s="261"/>
      <c r="BU583" s="261"/>
      <c r="BV583" s="261"/>
      <c r="BW583" s="261"/>
    </row>
    <row r="584" spans="2:75">
      <c r="N584" s="261"/>
      <c r="O584" s="261"/>
      <c r="P584" s="261"/>
      <c r="Q584" s="261"/>
      <c r="R584" s="261"/>
      <c r="S584" s="261"/>
      <c r="T584" s="261"/>
      <c r="U584" s="261"/>
      <c r="V584" s="261"/>
      <c r="W584" s="261"/>
      <c r="X584" s="261"/>
      <c r="Y584" s="229"/>
      <c r="Z584" s="229"/>
      <c r="AA584" s="229"/>
      <c r="AB584" s="229"/>
      <c r="AC584" s="229"/>
      <c r="AD584" s="229"/>
      <c r="AE584" s="229"/>
      <c r="AF584" s="229"/>
      <c r="AG584" s="229"/>
      <c r="AH584" s="229"/>
      <c r="AI584" s="229"/>
      <c r="AJ584" s="229"/>
      <c r="AK584" s="229"/>
      <c r="AL584" s="229"/>
      <c r="AM584" s="229"/>
      <c r="AN584" s="229"/>
      <c r="AO584" s="229"/>
      <c r="AP584" s="229"/>
      <c r="AQ584" s="261"/>
      <c r="AR584" s="261"/>
      <c r="AS584" s="261"/>
      <c r="AT584" s="261"/>
      <c r="AU584" s="261"/>
      <c r="AV584" s="261"/>
      <c r="AW584" s="261"/>
      <c r="AX584" s="261"/>
      <c r="AY584" s="261"/>
      <c r="AZ584" s="261"/>
      <c r="BA584" s="261"/>
      <c r="BB584" s="261"/>
      <c r="BC584" s="261"/>
      <c r="BD584" s="261"/>
      <c r="BE584" s="261"/>
      <c r="BF584" s="261"/>
      <c r="BG584" s="261"/>
      <c r="BH584" s="261"/>
      <c r="BI584" s="261"/>
      <c r="BJ584" s="261"/>
      <c r="BK584" s="261"/>
      <c r="BL584" s="261"/>
      <c r="BM584" s="261"/>
      <c r="BN584" s="261"/>
      <c r="BO584" s="261"/>
      <c r="BP584" s="261"/>
      <c r="BQ584" s="261"/>
      <c r="BR584" s="261"/>
      <c r="BS584" s="261"/>
      <c r="BT584" s="261"/>
      <c r="BU584" s="261"/>
      <c r="BV584" s="261"/>
      <c r="BW584" s="261"/>
    </row>
    <row r="585" spans="2:75">
      <c r="N585" s="261"/>
      <c r="O585" s="261"/>
      <c r="P585" s="261"/>
      <c r="Q585" s="261"/>
      <c r="R585" s="261"/>
      <c r="S585" s="261"/>
      <c r="T585" s="261"/>
      <c r="U585" s="261"/>
      <c r="V585" s="261"/>
      <c r="W585" s="261"/>
      <c r="X585" s="261"/>
      <c r="Y585" s="229"/>
      <c r="Z585" s="229"/>
      <c r="AA585" s="229"/>
      <c r="AB585" s="229"/>
      <c r="AC585" s="229"/>
      <c r="AD585" s="229"/>
      <c r="AE585" s="229"/>
      <c r="AF585" s="229"/>
      <c r="AG585" s="229"/>
      <c r="AH585" s="229"/>
      <c r="AI585" s="229"/>
      <c r="AJ585" s="229"/>
      <c r="AK585" s="229"/>
      <c r="AL585" s="229"/>
      <c r="AM585" s="229"/>
      <c r="AN585" s="229"/>
      <c r="AO585" s="229"/>
      <c r="AP585" s="229"/>
      <c r="AQ585" s="261"/>
      <c r="AR585" s="261"/>
      <c r="AS585" s="261"/>
      <c r="AT585" s="261"/>
      <c r="AU585" s="261"/>
      <c r="AV585" s="261"/>
      <c r="AW585" s="261"/>
      <c r="AX585" s="261"/>
      <c r="AY585" s="261"/>
      <c r="AZ585" s="261"/>
      <c r="BA585" s="261"/>
      <c r="BB585" s="261"/>
      <c r="BC585" s="261"/>
      <c r="BD585" s="261"/>
      <c r="BE585" s="261"/>
      <c r="BF585" s="261"/>
      <c r="BG585" s="261"/>
      <c r="BH585" s="261"/>
      <c r="BI585" s="261"/>
      <c r="BJ585" s="261"/>
      <c r="BK585" s="261"/>
      <c r="BL585" s="261"/>
      <c r="BM585" s="261"/>
      <c r="BN585" s="261"/>
      <c r="BO585" s="261"/>
      <c r="BP585" s="261"/>
      <c r="BQ585" s="261"/>
      <c r="BR585" s="261"/>
      <c r="BS585" s="261"/>
      <c r="BT585" s="261"/>
      <c r="BU585" s="261"/>
      <c r="BV585" s="261"/>
      <c r="BW585" s="261"/>
    </row>
  </sheetData>
  <sheetProtection algorithmName="SHA-512" hashValue="TBNfuBwnPtyVEfiQeZhLZ4clIU2DchlFaqYrp/ougWpQSiTHmjrohKeu0wkbXkKSJmnYj2xXU6W4vdmXM2THzQ==" saltValue="cPLsxnP3YRypRJpcjAPLlg==" spinCount="100000" sheet="1" objects="1" scenarios="1"/>
  <protectedRanges>
    <protectedRange sqref="F83:J84" name="Bereik18"/>
    <protectedRange sqref="B111:J115" name="Bereik16"/>
    <protectedRange sqref="K104" name="Bereik14"/>
    <protectedRange sqref="K87 K83:K85" name="Bereik12"/>
    <protectedRange sqref="K28:K31" name="Bereik10"/>
    <protectedRange sqref="K16:K20" name="Bereik8"/>
    <protectedRange sqref="J21:J24" name="Bereik6"/>
    <protectedRange sqref="F20:I22" name="Bereik4"/>
    <protectedRange sqref="F15:K15" name="Bereik2"/>
    <protectedRange sqref="F5:K5" name="Bereik1"/>
    <protectedRange sqref="F16:I18" name="Bereik3"/>
    <protectedRange sqref="J16:J19" name="Bereik5"/>
    <protectedRange sqref="J26:J28" name="Bereik7"/>
    <protectedRange sqref="K22:K26" name="Bereik9"/>
    <protectedRange sqref="K37:K81" name="Bereik11"/>
    <protectedRange sqref="K91" name="Bereik13"/>
    <protectedRange sqref="F67:J75" name="Bereik17"/>
  </protectedRanges>
  <dataConsolidate/>
  <mergeCells count="209">
    <mergeCell ref="F2:I2"/>
    <mergeCell ref="F12:I12"/>
    <mergeCell ref="H91:J91"/>
    <mergeCell ref="H104:J104"/>
    <mergeCell ref="B83:E84"/>
    <mergeCell ref="F84:J84"/>
    <mergeCell ref="L84:M84"/>
    <mergeCell ref="L66:M66"/>
    <mergeCell ref="L67:M67"/>
    <mergeCell ref="L68:M68"/>
    <mergeCell ref="L69:M69"/>
    <mergeCell ref="L70:M70"/>
    <mergeCell ref="L71:M71"/>
    <mergeCell ref="F76:J76"/>
    <mergeCell ref="B79:E81"/>
    <mergeCell ref="F79:J79"/>
    <mergeCell ref="F80:J80"/>
    <mergeCell ref="L79:M79"/>
    <mergeCell ref="L80:M80"/>
    <mergeCell ref="F81:J81"/>
    <mergeCell ref="L81:M81"/>
    <mergeCell ref="K82:M82"/>
    <mergeCell ref="L83:M83"/>
    <mergeCell ref="L75:M75"/>
    <mergeCell ref="B57:E66"/>
    <mergeCell ref="B67:E75"/>
    <mergeCell ref="F67:J67"/>
    <mergeCell ref="F68:J68"/>
    <mergeCell ref="F69:J69"/>
    <mergeCell ref="F70:J70"/>
    <mergeCell ref="F71:J71"/>
    <mergeCell ref="L57:M57"/>
    <mergeCell ref="L58:M58"/>
    <mergeCell ref="L59:M59"/>
    <mergeCell ref="L60:M60"/>
    <mergeCell ref="L61:M61"/>
    <mergeCell ref="L62:M62"/>
    <mergeCell ref="L63:M63"/>
    <mergeCell ref="L64:M64"/>
    <mergeCell ref="F59:J59"/>
    <mergeCell ref="F65:J65"/>
    <mergeCell ref="F74:J74"/>
    <mergeCell ref="F75:J75"/>
    <mergeCell ref="L73:M73"/>
    <mergeCell ref="L74:M74"/>
    <mergeCell ref="F57:J57"/>
    <mergeCell ref="F58:J58"/>
    <mergeCell ref="F60:J60"/>
    <mergeCell ref="B52:E54"/>
    <mergeCell ref="B55:E56"/>
    <mergeCell ref="B46:E51"/>
    <mergeCell ref="L113:M113"/>
    <mergeCell ref="B111:J111"/>
    <mergeCell ref="B112:J112"/>
    <mergeCell ref="B113:J113"/>
    <mergeCell ref="B114:J114"/>
    <mergeCell ref="K114:K115"/>
    <mergeCell ref="L114:M115"/>
    <mergeCell ref="B115:J115"/>
    <mergeCell ref="L110:M110"/>
    <mergeCell ref="L109:M109"/>
    <mergeCell ref="L111:M111"/>
    <mergeCell ref="L112:M112"/>
    <mergeCell ref="B104:E104"/>
    <mergeCell ref="L104:M104"/>
    <mergeCell ref="F93:J93"/>
    <mergeCell ref="F94:J94"/>
    <mergeCell ref="F61:J61"/>
    <mergeCell ref="F62:J62"/>
    <mergeCell ref="F63:J63"/>
    <mergeCell ref="F64:J64"/>
    <mergeCell ref="F83:J83"/>
    <mergeCell ref="R109:W109"/>
    <mergeCell ref="F100:J100"/>
    <mergeCell ref="F101:J101"/>
    <mergeCell ref="F102:J102"/>
    <mergeCell ref="F95:J95"/>
    <mergeCell ref="F96:J96"/>
    <mergeCell ref="F97:J97"/>
    <mergeCell ref="F98:J98"/>
    <mergeCell ref="F99:J99"/>
    <mergeCell ref="F105:J105"/>
    <mergeCell ref="B107:M107"/>
    <mergeCell ref="B108:M108"/>
    <mergeCell ref="F106:J106"/>
    <mergeCell ref="L77:M77"/>
    <mergeCell ref="B76:E76"/>
    <mergeCell ref="B86:M86"/>
    <mergeCell ref="B87:M87"/>
    <mergeCell ref="L78:M78"/>
    <mergeCell ref="R89:W89"/>
    <mergeCell ref="R90:W90"/>
    <mergeCell ref="R91:W91"/>
    <mergeCell ref="R92:W92"/>
    <mergeCell ref="F90:J90"/>
    <mergeCell ref="L91:M91"/>
    <mergeCell ref="F92:J92"/>
    <mergeCell ref="F77:J77"/>
    <mergeCell ref="B89:M89"/>
    <mergeCell ref="B91:E91"/>
    <mergeCell ref="F129:J129"/>
    <mergeCell ref="F109:J109"/>
    <mergeCell ref="F116:J116"/>
    <mergeCell ref="F123:J123"/>
    <mergeCell ref="F124:J124"/>
    <mergeCell ref="F119:J119"/>
    <mergeCell ref="F120:J120"/>
    <mergeCell ref="F121:J121"/>
    <mergeCell ref="B110:J110"/>
    <mergeCell ref="F122:J122"/>
    <mergeCell ref="F125:J125"/>
    <mergeCell ref="F126:J126"/>
    <mergeCell ref="F73:J73"/>
    <mergeCell ref="L76:M76"/>
    <mergeCell ref="B133:E133"/>
    <mergeCell ref="B135:E135"/>
    <mergeCell ref="F37:J37"/>
    <mergeCell ref="F38:J38"/>
    <mergeCell ref="F39:J39"/>
    <mergeCell ref="F40:J40"/>
    <mergeCell ref="F41:J41"/>
    <mergeCell ref="F42:J42"/>
    <mergeCell ref="F43:J43"/>
    <mergeCell ref="F44:J44"/>
    <mergeCell ref="F45:J45"/>
    <mergeCell ref="F46:J46"/>
    <mergeCell ref="F47:J47"/>
    <mergeCell ref="F78:J78"/>
    <mergeCell ref="F117:J117"/>
    <mergeCell ref="F118:J118"/>
    <mergeCell ref="B123:E128"/>
    <mergeCell ref="B129:E129"/>
    <mergeCell ref="B130:E131"/>
    <mergeCell ref="B77:E78"/>
    <mergeCell ref="F127:J127"/>
    <mergeCell ref="F128:J128"/>
    <mergeCell ref="L51:M51"/>
    <mergeCell ref="F51:J51"/>
    <mergeCell ref="L2:M2"/>
    <mergeCell ref="B1:M1"/>
    <mergeCell ref="B36:M36"/>
    <mergeCell ref="B3:E5"/>
    <mergeCell ref="F3:I3"/>
    <mergeCell ref="L3:M3"/>
    <mergeCell ref="F4:I4"/>
    <mergeCell ref="L4:M4"/>
    <mergeCell ref="F5:I5"/>
    <mergeCell ref="L5:M5"/>
    <mergeCell ref="B15:E16"/>
    <mergeCell ref="F15:I15"/>
    <mergeCell ref="L15:M15"/>
    <mergeCell ref="F16:I16"/>
    <mergeCell ref="B6:E8"/>
    <mergeCell ref="F6:I6"/>
    <mergeCell ref="F7:I7"/>
    <mergeCell ref="F8:I8"/>
    <mergeCell ref="B9:E11"/>
    <mergeCell ref="F9:I9"/>
    <mergeCell ref="B13:E14"/>
    <mergeCell ref="F13:I13"/>
    <mergeCell ref="L13:M13"/>
    <mergeCell ref="F14:I14"/>
    <mergeCell ref="F23:I23"/>
    <mergeCell ref="F24:I24"/>
    <mergeCell ref="F25:I25"/>
    <mergeCell ref="F26:I26"/>
    <mergeCell ref="B28:D28"/>
    <mergeCell ref="L28:M28"/>
    <mergeCell ref="F48:J48"/>
    <mergeCell ref="B37:E45"/>
    <mergeCell ref="L14:M14"/>
    <mergeCell ref="B17:E18"/>
    <mergeCell ref="F17:I17"/>
    <mergeCell ref="F18:I18"/>
    <mergeCell ref="B19:E20"/>
    <mergeCell ref="F19:I19"/>
    <mergeCell ref="F20:I20"/>
    <mergeCell ref="F21:I21"/>
    <mergeCell ref="F22:I22"/>
    <mergeCell ref="F49:J49"/>
    <mergeCell ref="F50:J50"/>
    <mergeCell ref="L37:M37"/>
    <mergeCell ref="L40:M40"/>
    <mergeCell ref="L41:M41"/>
    <mergeCell ref="L49:M49"/>
    <mergeCell ref="L42:M42"/>
    <mergeCell ref="L38:M38"/>
    <mergeCell ref="L39:M39"/>
    <mergeCell ref="L43:M43"/>
    <mergeCell ref="L44:M44"/>
    <mergeCell ref="L45:M45"/>
    <mergeCell ref="L46:M46"/>
    <mergeCell ref="L47:M47"/>
    <mergeCell ref="L48:M48"/>
    <mergeCell ref="L50:M50"/>
    <mergeCell ref="F52:J52"/>
    <mergeCell ref="F53:J53"/>
    <mergeCell ref="F54:J54"/>
    <mergeCell ref="L52:M52"/>
    <mergeCell ref="L53:M53"/>
    <mergeCell ref="L54:M54"/>
    <mergeCell ref="F55:J55"/>
    <mergeCell ref="F56:J56"/>
    <mergeCell ref="F72:J72"/>
    <mergeCell ref="L55:M55"/>
    <mergeCell ref="L56:M56"/>
    <mergeCell ref="L72:M72"/>
    <mergeCell ref="L65:M65"/>
    <mergeCell ref="F66:J66"/>
  </mergeCells>
  <conditionalFormatting sqref="K82:M82">
    <cfRule type="containsText" dxfId="12" priority="50" operator="containsText" text="keramisch/rvs">
      <formula>NOT(ISERROR(SEARCH("keramisch/rvs",K82)))</formula>
    </cfRule>
  </conditionalFormatting>
  <conditionalFormatting sqref="F16:F18 F20:I22 F24:I26">
    <cfRule type="expression" dxfId="11" priority="46">
      <formula>$F$15&lt;&gt;"Klik &amp; Kies aantal personen ---&gt;"</formula>
    </cfRule>
  </conditionalFormatting>
  <conditionalFormatting sqref="F15:I15">
    <cfRule type="cellIs" dxfId="10" priority="41" operator="notEqual">
      <formula>"Klik &amp; Kies aantal personen ---&gt;"</formula>
    </cfRule>
  </conditionalFormatting>
  <conditionalFormatting sqref="J16:J19 J30:J31 J21:J24 J26:J28">
    <cfRule type="expression" dxfId="9" priority="32">
      <formula>$J$15&lt;&gt;"Klik &amp; Kies aantal personen ---&gt;"</formula>
    </cfRule>
  </conditionalFormatting>
  <conditionalFormatting sqref="K16:K20 K22:K26 K33:K34 K28:K31">
    <cfRule type="expression" dxfId="8" priority="21">
      <formula>$K$15&lt;&gt;"Klik &amp; Kies aantal personen ---&gt;"</formula>
    </cfRule>
  </conditionalFormatting>
  <conditionalFormatting sqref="F6:I9">
    <cfRule type="expression" dxfId="7" priority="20">
      <formula>$F$5&lt;&gt;"Klik &amp; Kies aantal personen ---&gt;"</formula>
    </cfRule>
  </conditionalFormatting>
  <conditionalFormatting sqref="F5:I5">
    <cfRule type="cellIs" dxfId="6" priority="19" operator="notEqual">
      <formula>"Klik &amp; Kies aantal personen ---&gt;"</formula>
    </cfRule>
  </conditionalFormatting>
  <conditionalFormatting sqref="J5 J15">
    <cfRule type="cellIs" dxfId="5" priority="18" operator="notEqual">
      <formula>"Klik &amp; Kies aantal personen ---&gt;"</formula>
    </cfRule>
  </conditionalFormatting>
  <conditionalFormatting sqref="J6:J10">
    <cfRule type="expression" dxfId="4" priority="17">
      <formula>$J$5&lt;&gt;"Klik &amp; Kies aantal personen ---&gt;"</formula>
    </cfRule>
  </conditionalFormatting>
  <conditionalFormatting sqref="K5 K15">
    <cfRule type="cellIs" dxfId="3" priority="16" operator="notEqual">
      <formula>"Klik &amp; Kies aantal personen ---&gt;"</formula>
    </cfRule>
  </conditionalFormatting>
  <conditionalFormatting sqref="K6:K11">
    <cfRule type="expression" dxfId="2" priority="15">
      <formula>$K$5&lt;&gt;"Klik &amp; Kies aantal personen ---&gt;"</formula>
    </cfRule>
  </conditionalFormatting>
  <conditionalFormatting sqref="F92:J102">
    <cfRule type="expression" dxfId="1" priority="2">
      <formula>$K$91&lt;&gt;"Klik &amp; Kies va. 6 pers.--&gt;"</formula>
    </cfRule>
  </conditionalFormatting>
  <conditionalFormatting sqref="F105:J106">
    <cfRule type="expression" dxfId="0" priority="1">
      <formula>$K$104&lt;&gt;"Klik &amp; Kies va. 4 pers.--&gt;"</formula>
    </cfRule>
  </conditionalFormatting>
  <dataValidations count="24">
    <dataValidation type="list" allowBlank="1" showInputMessage="1" showErrorMessage="1" sqref="S140 P196 S137 P193 S3" xr:uid="{00000000-0002-0000-0400-000000000000}">
      <formula1>Aantal</formula1>
    </dataValidation>
    <dataValidation type="list" showInputMessage="1" showErrorMessage="1" sqref="F83:J85" xr:uid="{00000000-0002-0000-0400-000001000000}">
      <formula1>$T$125:$T$128</formula1>
    </dataValidation>
    <dataValidation type="list" showInputMessage="1" showErrorMessage="1" sqref="K85" xr:uid="{00000000-0002-0000-0400-000002000000}">
      <formula1>$Y$117:$Y$119</formula1>
    </dataValidation>
    <dataValidation type="list" showInputMessage="1" showErrorMessage="1" sqref="K80:K81" xr:uid="{00000000-0002-0000-0400-000003000000}">
      <formula1>$AB$119:$AB$202</formula1>
    </dataValidation>
    <dataValidation type="list" showInputMessage="1" showErrorMessage="1" sqref="K67:K75" xr:uid="{00000000-0002-0000-0400-000004000000}">
      <formula1>$Q$203:$Q$242</formula1>
    </dataValidation>
    <dataValidation type="list" allowBlank="1" showInputMessage="1" showErrorMessage="1" sqref="K76" xr:uid="{00000000-0002-0000-0400-000005000000}">
      <formula1>$R$203:$R$304</formula1>
    </dataValidation>
    <dataValidation type="list" allowBlank="1" showInputMessage="1" showErrorMessage="1" sqref="F77:J78" xr:uid="{00000000-0002-0000-0400-000006000000}">
      <formula1>$T$204:$T$207</formula1>
    </dataValidation>
    <dataValidation type="list" showInputMessage="1" showErrorMessage="1" sqref="K77:K78" xr:uid="{00000000-0002-0000-0400-000007000000}">
      <formula1>$AG$117:$AG$168</formula1>
    </dataValidation>
    <dataValidation type="list" allowBlank="1" showInputMessage="1" showErrorMessage="1" sqref="K91" xr:uid="{00000000-0002-0000-0400-000008000000}">
      <formula1>$T$211:$T$236</formula1>
    </dataValidation>
    <dataValidation type="list" allowBlank="1" showInputMessage="1" showErrorMessage="1" sqref="K104:K106" xr:uid="{00000000-0002-0000-0400-000009000000}">
      <formula1>$U$211:$U$238</formula1>
    </dataValidation>
    <dataValidation type="list" showInputMessage="1" showErrorMessage="1" sqref="K79" xr:uid="{00000000-0002-0000-0400-00000A000000}">
      <formula1>$AA$119:$AA$216</formula1>
    </dataValidation>
    <dataValidation type="list" showInputMessage="1" showErrorMessage="1" sqref="K57:K66" xr:uid="{00000000-0002-0000-0400-00000B000000}">
      <formula1>$P$203:$P$282</formula1>
    </dataValidation>
    <dataValidation type="list" showInputMessage="1" showErrorMessage="1" sqref="K37:K56" xr:uid="{00000000-0002-0000-0400-00000C000000}">
      <formula1>$AD$117:$AD$235</formula1>
    </dataValidation>
    <dataValidation type="list" allowBlank="1" showInputMessage="1" showErrorMessage="1" sqref="K16:K20" xr:uid="{00000000-0002-0000-0400-00000D000000}">
      <formula1>$S$117:$S$138</formula1>
    </dataValidation>
    <dataValidation type="list" allowBlank="1" showInputMessage="1" showErrorMessage="1" sqref="F20:I22" xr:uid="{00000000-0002-0000-0400-00000E000000}">
      <formula1>$P$131:$P$139</formula1>
    </dataValidation>
    <dataValidation type="list" allowBlank="1" showInputMessage="1" showErrorMessage="1" sqref="K22:K26" xr:uid="{00000000-0002-0000-0400-00000F000000}">
      <formula1>$S$144:$S$156</formula1>
    </dataValidation>
    <dataValidation type="list" showInputMessage="1" showErrorMessage="1" sqref="F5:K5 F15:K15" xr:uid="{00000000-0002-0000-0400-000010000000}">
      <formula1>$W$117:$W$232</formula1>
    </dataValidation>
    <dataValidation type="list" allowBlank="1" showInputMessage="1" showErrorMessage="1" sqref="F16:F18" xr:uid="{00000000-0002-0000-0400-000011000000}">
      <formula1>$P$117:$P$127</formula1>
    </dataValidation>
    <dataValidation type="list" allowBlank="1" showInputMessage="1" showErrorMessage="1" sqref="J16:J19" xr:uid="{00000000-0002-0000-0400-000012000000}">
      <formula1>$Q$117:$Q$131</formula1>
    </dataValidation>
    <dataValidation type="list" allowBlank="1" showInputMessage="1" showErrorMessage="1" sqref="J21:J24" xr:uid="{00000000-0002-0000-0400-000013000000}">
      <formula1>$Q$137:$Q$149</formula1>
    </dataValidation>
    <dataValidation type="list" allowBlank="1" showInputMessage="1" showErrorMessage="1" sqref="J26:J28" xr:uid="{00000000-0002-0000-0400-000014000000}">
      <formula1>$Q$151:$Q$172</formula1>
    </dataValidation>
    <dataValidation type="list" allowBlank="1" showInputMessage="1" showErrorMessage="1" sqref="K28:K31" xr:uid="{00000000-0002-0000-0400-000015000000}">
      <formula1>$T$144:$T$165</formula1>
    </dataValidation>
    <dataValidation type="list" allowBlank="1" showInputMessage="1" showErrorMessage="1" sqref="F67:J75" xr:uid="{00000000-0002-0000-0400-000016000000}">
      <formula1>$U$173:$U$194</formula1>
    </dataValidation>
    <dataValidation type="list" showInputMessage="1" showErrorMessage="1" sqref="K83:K84" xr:uid="{00000000-0002-0000-0400-000017000000}">
      <formula1>$Y$117:$Y$120</formula1>
    </dataValidation>
  </dataValidations>
  <hyperlinks>
    <hyperlink ref="B87:M87" location="CATERINGBESTELLING!A64:A118" display="Bij Cateringbestelling Klik HIER" xr:uid="{00000000-0004-0000-0400-000000000000}"/>
  </hyperlinks>
  <pageMargins left="0.43307086614173229" right="0.11811023622047245" top="0.11811023622047245" bottom="0.19685039370078741" header="0.11811023622047245" footer="0.19685039370078741"/>
  <pageSetup paperSize="9" orientation="landscape" horizontalDpi="4294967293" verticalDpi="0" r:id="rId1"/>
  <ignoredErrors>
    <ignoredError sqref="N104 N91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tabColor theme="0"/>
    <pageSetUpPr fitToPage="1"/>
  </sheetPr>
  <dimension ref="A1:CW204"/>
  <sheetViews>
    <sheetView showGridLines="0" showRowColHeaders="0" zoomScaleNormal="100" workbookViewId="0"/>
  </sheetViews>
  <sheetFormatPr defaultColWidth="9" defaultRowHeight="14.85"/>
  <cols>
    <col min="1" max="1" width="5.7109375" customWidth="1"/>
    <col min="2" max="2" width="14.7109375" customWidth="1"/>
    <col min="4" max="4" width="3.140625" customWidth="1"/>
    <col min="5" max="5" width="1.140625" customWidth="1"/>
    <col min="6" max="6" width="7.85546875" customWidth="1"/>
    <col min="7" max="7" width="4.42578125" customWidth="1"/>
    <col min="8" max="8" width="4" customWidth="1"/>
    <col min="9" max="37" width="3.7109375" customWidth="1"/>
    <col min="38" max="38" width="4.85546875" customWidth="1"/>
    <col min="39" max="53" width="3.7109375" customWidth="1"/>
    <col min="54" max="54" width="4" customWidth="1"/>
    <col min="55" max="55" width="8.42578125" customWidth="1"/>
  </cols>
  <sheetData>
    <row r="1" spans="1:101" ht="15.0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101" ht="15.05" customHeight="1">
      <c r="A2" s="1"/>
      <c r="B2" s="1"/>
      <c r="C2" s="1"/>
      <c r="D2" s="1"/>
      <c r="E2" s="1"/>
      <c r="F2" s="1"/>
      <c r="G2" s="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6"/>
      <c r="V2" s="8"/>
      <c r="W2" s="3"/>
      <c r="X2" s="3"/>
      <c r="Y2" s="3"/>
      <c r="Z2" s="3"/>
      <c r="AA2" s="3"/>
      <c r="AB2" s="3"/>
      <c r="AC2" s="3"/>
      <c r="AD2" s="3"/>
      <c r="AE2" s="3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1:101" ht="32.299999999999997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295"/>
      <c r="W3" s="295"/>
      <c r="X3" s="295"/>
      <c r="Y3" s="295"/>
      <c r="Z3" s="295"/>
      <c r="AA3" s="295"/>
      <c r="AB3" s="295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929"/>
      <c r="BD3" s="929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101" ht="29.3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1:101" ht="31.55" customHeight="1">
      <c r="A5" s="1"/>
      <c r="B5" s="1"/>
      <c r="C5" s="1"/>
      <c r="D5" s="308"/>
      <c r="E5" s="308"/>
      <c r="F5" s="308"/>
      <c r="G5" s="308"/>
      <c r="H5" s="308"/>
      <c r="I5" s="308"/>
      <c r="J5" s="939" t="s">
        <v>536</v>
      </c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308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101" ht="8.199999999999999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1"/>
      <c r="AV6" s="301"/>
      <c r="AW6" s="301"/>
      <c r="AX6" s="930"/>
      <c r="AY6" s="930"/>
      <c r="AZ6" s="930"/>
      <c r="BA6" s="930"/>
      <c r="BB6" s="930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1:101" ht="20.05" customHeight="1">
      <c r="A7" s="1"/>
      <c r="B7" s="1"/>
      <c r="C7" s="1"/>
      <c r="D7" s="1"/>
      <c r="E7" s="1"/>
      <c r="F7" s="1"/>
      <c r="G7" s="1"/>
      <c r="H7" s="1"/>
      <c r="I7" s="1"/>
      <c r="J7" s="1622" t="s">
        <v>537</v>
      </c>
      <c r="K7" s="1622"/>
      <c r="L7" s="1622"/>
      <c r="M7" s="1622"/>
      <c r="N7" s="1622"/>
      <c r="O7" s="1622"/>
      <c r="P7" s="1622"/>
      <c r="Q7" s="1622"/>
      <c r="R7" s="1622"/>
      <c r="S7" s="1622"/>
      <c r="T7" s="1622"/>
      <c r="U7" s="1622"/>
      <c r="V7" s="1622"/>
      <c r="W7" s="1622"/>
      <c r="X7" s="1622"/>
      <c r="Y7" s="1622"/>
      <c r="Z7" s="1622"/>
      <c r="AA7" s="1622"/>
      <c r="AB7" s="1622"/>
      <c r="AC7" s="1622"/>
      <c r="AD7" s="1622"/>
      <c r="AE7" s="1622"/>
      <c r="AF7" s="1622"/>
      <c r="AG7" s="1622"/>
      <c r="AH7" s="1622"/>
      <c r="AI7" s="1622"/>
      <c r="AJ7" s="1622"/>
      <c r="AK7" s="1622"/>
      <c r="AL7" s="1622"/>
      <c r="AM7" s="1622"/>
      <c r="AN7" s="1622"/>
      <c r="AO7" s="1622"/>
      <c r="AP7" s="1622"/>
      <c r="AQ7" s="1622"/>
      <c r="AR7" s="1622"/>
      <c r="AS7" s="1622"/>
      <c r="AT7" s="1622"/>
      <c r="AU7" s="1622"/>
      <c r="AV7" s="1622"/>
      <c r="AW7" s="1622"/>
      <c r="AX7" s="1622"/>
      <c r="AY7" s="1622"/>
      <c r="AZ7" s="1622"/>
      <c r="BA7" s="1622"/>
      <c r="BB7" s="1622"/>
      <c r="BC7" s="1622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1:101" ht="20.05" customHeight="1">
      <c r="A8" s="1"/>
      <c r="B8" s="1"/>
      <c r="C8" s="1"/>
      <c r="D8" s="1"/>
      <c r="E8" s="1"/>
      <c r="F8" s="1"/>
      <c r="G8" s="1"/>
      <c r="H8" s="1"/>
      <c r="I8" s="1"/>
      <c r="J8" s="1623" t="s">
        <v>538</v>
      </c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1:101" ht="21.9" customHeight="1">
      <c r="A9" s="1"/>
      <c r="B9" s="1"/>
      <c r="C9" s="1"/>
      <c r="D9" s="1"/>
      <c r="E9" s="1"/>
      <c r="F9" s="1"/>
      <c r="G9" s="1"/>
      <c r="H9" s="1"/>
      <c r="I9" s="1"/>
      <c r="J9" s="1615" t="s">
        <v>539</v>
      </c>
      <c r="K9" s="1615"/>
      <c r="L9" s="1615"/>
      <c r="M9" s="1615"/>
      <c r="N9" s="1615"/>
      <c r="O9" s="1615"/>
      <c r="P9" s="1615"/>
      <c r="Q9" s="1615"/>
      <c r="R9" s="1615"/>
      <c r="S9" s="1615"/>
      <c r="T9" s="1615"/>
      <c r="U9" s="1615"/>
      <c r="V9" s="1615"/>
      <c r="W9" s="1615"/>
      <c r="X9" s="1615"/>
      <c r="Y9" s="1615"/>
      <c r="Z9" s="1615"/>
      <c r="AA9" s="1615"/>
      <c r="AB9" s="1615"/>
      <c r="AC9" s="1615"/>
      <c r="AD9" s="1615"/>
      <c r="AE9" s="1615"/>
      <c r="AF9" s="1615"/>
      <c r="AG9" s="1615"/>
      <c r="AH9" s="1615"/>
      <c r="AI9" s="1615"/>
      <c r="AJ9" s="1615"/>
      <c r="AK9" s="1615"/>
      <c r="AL9" s="1615"/>
      <c r="AM9" s="1615"/>
      <c r="AN9" s="1615"/>
      <c r="AO9" s="1615"/>
      <c r="AP9" s="1615"/>
      <c r="AQ9" s="1615"/>
      <c r="AR9" s="1615"/>
      <c r="AS9" s="1615"/>
      <c r="AT9" s="1615"/>
      <c r="AU9" s="1615"/>
      <c r="AV9" s="1615"/>
      <c r="AW9" s="1615"/>
      <c r="AX9" s="1615"/>
      <c r="AY9" s="1615"/>
      <c r="AZ9" s="1615"/>
      <c r="BA9" s="1615"/>
      <c r="BB9" s="1615"/>
      <c r="BC9" s="1615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1:101" ht="16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301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44"/>
      <c r="AB10" s="300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45"/>
      <c r="AN10" s="345"/>
      <c r="AO10" s="344"/>
      <c r="AP10" s="345"/>
      <c r="AQ10" s="345"/>
      <c r="AR10" s="345"/>
      <c r="AS10" s="345"/>
      <c r="AT10" s="345"/>
      <c r="AU10" s="345"/>
      <c r="AV10" s="347"/>
      <c r="AW10" s="345"/>
      <c r="AX10" s="296"/>
      <c r="AY10" s="296"/>
      <c r="AZ10" s="296"/>
      <c r="BA10" s="296"/>
      <c r="BB10" s="296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1:101" ht="24.9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301"/>
      <c r="L11" s="300"/>
      <c r="M11" s="300"/>
      <c r="N11" s="300"/>
      <c r="O11" s="300"/>
      <c r="P11" s="300"/>
      <c r="Q11" s="330"/>
      <c r="R11" s="330"/>
      <c r="S11" s="330"/>
      <c r="T11" s="330"/>
      <c r="U11" s="330"/>
      <c r="V11" s="330"/>
      <c r="W11" s="330"/>
      <c r="X11" s="330"/>
      <c r="Y11" s="1616"/>
      <c r="Z11" s="1617"/>
      <c r="AA11" s="1617"/>
      <c r="AB11" s="1617"/>
      <c r="AC11" s="1617"/>
      <c r="AD11" s="1617"/>
      <c r="AE11" s="1617"/>
      <c r="AF11" s="1617"/>
      <c r="AG11" s="1617"/>
      <c r="AH11" s="1617"/>
      <c r="AI11" s="1617"/>
      <c r="AJ11" s="1617"/>
      <c r="AK11" s="1617"/>
      <c r="AL11" s="1617"/>
      <c r="AM11" s="1617"/>
      <c r="AN11" s="1617"/>
      <c r="AO11" s="1618"/>
      <c r="AP11" s="330"/>
      <c r="AQ11" s="330"/>
      <c r="AR11" s="330"/>
      <c r="AS11" s="330"/>
      <c r="AT11" s="330"/>
      <c r="AU11" s="330"/>
      <c r="AV11" s="330"/>
      <c r="AW11" s="330"/>
      <c r="AX11" s="330"/>
      <c r="AY11" s="7"/>
      <c r="AZ11" s="347"/>
      <c r="BA11" s="7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1:101" ht="24.9" customHeight="1">
      <c r="K12" s="302"/>
      <c r="L12" s="300"/>
      <c r="M12" s="300"/>
      <c r="N12" s="300"/>
      <c r="O12" s="300"/>
      <c r="P12" s="300"/>
      <c r="Q12" s="330"/>
      <c r="R12" s="330"/>
      <c r="S12" s="330"/>
      <c r="T12" s="330"/>
      <c r="U12" s="330"/>
      <c r="V12" s="330"/>
      <c r="W12" s="330"/>
      <c r="X12" s="330"/>
      <c r="Y12" s="1619"/>
      <c r="Z12" s="1620"/>
      <c r="AA12" s="1620"/>
      <c r="AB12" s="1620"/>
      <c r="AC12" s="1620"/>
      <c r="AD12" s="1620"/>
      <c r="AE12" s="1620"/>
      <c r="AF12" s="1620"/>
      <c r="AG12" s="1620"/>
      <c r="AH12" s="1620"/>
      <c r="AI12" s="1620"/>
      <c r="AJ12" s="1620"/>
      <c r="AK12" s="1620"/>
      <c r="AL12" s="1620"/>
      <c r="AM12" s="1620"/>
      <c r="AN12" s="1620"/>
      <c r="AO12" s="1621"/>
      <c r="AP12" s="330"/>
      <c r="AQ12" s="330"/>
      <c r="AR12" s="330"/>
      <c r="AS12" s="330"/>
      <c r="AT12" s="330"/>
      <c r="AU12" s="330"/>
      <c r="AV12" s="330"/>
      <c r="AW12" s="330"/>
      <c r="AX12" s="330"/>
      <c r="AZ12" s="347"/>
    </row>
    <row r="13" spans="1:101" ht="24.9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301"/>
      <c r="L13" s="300"/>
      <c r="M13" s="300"/>
      <c r="N13" s="300"/>
      <c r="O13" s="300"/>
      <c r="P13" s="300"/>
      <c r="Q13" s="330"/>
      <c r="R13" s="330"/>
      <c r="S13" s="330"/>
      <c r="T13" s="330"/>
      <c r="U13" s="330"/>
      <c r="V13" s="330"/>
      <c r="W13" s="330"/>
      <c r="X13" s="330"/>
      <c r="Y13" s="1619"/>
      <c r="Z13" s="1620"/>
      <c r="AA13" s="1620"/>
      <c r="AB13" s="1620"/>
      <c r="AC13" s="1620"/>
      <c r="AD13" s="1620"/>
      <c r="AE13" s="1620"/>
      <c r="AF13" s="1620"/>
      <c r="AG13" s="1620"/>
      <c r="AH13" s="1620"/>
      <c r="AI13" s="1620"/>
      <c r="AJ13" s="1620"/>
      <c r="AK13" s="1620"/>
      <c r="AL13" s="1620"/>
      <c r="AM13" s="1620"/>
      <c r="AN13" s="1620"/>
      <c r="AO13" s="1621"/>
      <c r="AP13" s="330"/>
      <c r="AQ13" s="330"/>
      <c r="AR13" s="330"/>
      <c r="AS13" s="330"/>
      <c r="AT13" s="330"/>
      <c r="AU13" s="330"/>
      <c r="AV13" s="330"/>
      <c r="AW13" s="330"/>
      <c r="AX13" s="330"/>
      <c r="AY13" s="17"/>
      <c r="AZ13" s="347"/>
      <c r="BA13" s="347"/>
      <c r="BB13" s="17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1:101" ht="24.9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301"/>
      <c r="L14" s="300"/>
      <c r="M14" s="300"/>
      <c r="N14" s="300"/>
      <c r="O14" s="300"/>
      <c r="P14" s="300"/>
      <c r="Q14" s="330"/>
      <c r="R14" s="330"/>
      <c r="S14" s="330"/>
      <c r="T14" s="330"/>
      <c r="U14" s="330"/>
      <c r="V14" s="330"/>
      <c r="W14" s="330"/>
      <c r="X14" s="330"/>
      <c r="Y14" s="1619"/>
      <c r="Z14" s="1620"/>
      <c r="AA14" s="1620"/>
      <c r="AB14" s="1620"/>
      <c r="AC14" s="1620"/>
      <c r="AD14" s="1620"/>
      <c r="AE14" s="1620"/>
      <c r="AF14" s="1620"/>
      <c r="AG14" s="1620"/>
      <c r="AH14" s="1620"/>
      <c r="AI14" s="1620"/>
      <c r="AJ14" s="1620"/>
      <c r="AK14" s="1620"/>
      <c r="AL14" s="1620"/>
      <c r="AM14" s="1620"/>
      <c r="AN14" s="1620"/>
      <c r="AO14" s="1621"/>
      <c r="AP14" s="330"/>
      <c r="AQ14" s="330"/>
      <c r="AR14" s="330"/>
      <c r="AS14" s="330"/>
      <c r="AT14" s="330"/>
      <c r="AU14" s="330"/>
      <c r="AV14" s="330"/>
      <c r="AW14" s="330"/>
      <c r="AX14" s="330"/>
      <c r="AY14" s="7"/>
      <c r="AZ14" s="347"/>
      <c r="BA14" s="7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</row>
    <row r="15" spans="1:101" ht="24.9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301"/>
      <c r="L15" s="300"/>
      <c r="M15" s="300"/>
      <c r="N15" s="300"/>
      <c r="O15" s="300"/>
      <c r="P15" s="300"/>
      <c r="Q15" s="330"/>
      <c r="R15" s="330"/>
      <c r="S15" s="330"/>
      <c r="T15" s="330"/>
      <c r="U15" s="330"/>
      <c r="V15" s="330"/>
      <c r="W15" s="330"/>
      <c r="X15" s="330"/>
      <c r="Y15" s="1619"/>
      <c r="Z15" s="1620"/>
      <c r="AA15" s="1620"/>
      <c r="AB15" s="1620"/>
      <c r="AC15" s="1620"/>
      <c r="AD15" s="1620"/>
      <c r="AE15" s="1620"/>
      <c r="AF15" s="1620"/>
      <c r="AG15" s="1620"/>
      <c r="AH15" s="1620"/>
      <c r="AI15" s="1620"/>
      <c r="AJ15" s="1620"/>
      <c r="AK15" s="1620"/>
      <c r="AL15" s="1620"/>
      <c r="AM15" s="1620"/>
      <c r="AN15" s="1620"/>
      <c r="AO15" s="1621"/>
      <c r="AP15" s="330"/>
      <c r="AQ15" s="330"/>
      <c r="AR15" s="330"/>
      <c r="AS15" s="330"/>
      <c r="AT15" s="330"/>
      <c r="AU15" s="330"/>
      <c r="AV15" s="330"/>
      <c r="AW15" s="330"/>
      <c r="AX15" s="330"/>
      <c r="AY15" s="7"/>
      <c r="AZ15" s="347"/>
      <c r="BA15" s="7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</row>
    <row r="16" spans="1:101" ht="24.9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301"/>
      <c r="L16" s="300"/>
      <c r="M16" s="300"/>
      <c r="N16" s="300"/>
      <c r="O16" s="300"/>
      <c r="P16" s="300"/>
      <c r="Q16" s="330"/>
      <c r="R16" s="330"/>
      <c r="S16" s="330"/>
      <c r="T16" s="330"/>
      <c r="U16" s="330"/>
      <c r="V16" s="330"/>
      <c r="W16" s="330"/>
      <c r="X16" s="330"/>
      <c r="Y16" s="1619"/>
      <c r="Z16" s="1620"/>
      <c r="AA16" s="1620"/>
      <c r="AB16" s="1620"/>
      <c r="AC16" s="1620"/>
      <c r="AD16" s="1620"/>
      <c r="AE16" s="1620"/>
      <c r="AF16" s="1620"/>
      <c r="AG16" s="1620"/>
      <c r="AH16" s="1620"/>
      <c r="AI16" s="1620"/>
      <c r="AJ16" s="1620"/>
      <c r="AK16" s="1620"/>
      <c r="AL16" s="1620"/>
      <c r="AM16" s="1620"/>
      <c r="AN16" s="1620"/>
      <c r="AO16" s="1621"/>
      <c r="AP16" s="330"/>
      <c r="AQ16" s="330"/>
      <c r="AR16" s="330"/>
      <c r="AS16" s="330"/>
      <c r="AT16" s="330"/>
      <c r="AU16" s="330"/>
      <c r="AV16" s="330"/>
      <c r="AW16" s="330"/>
      <c r="AX16" s="330"/>
      <c r="AY16" s="7"/>
      <c r="AZ16" s="7"/>
      <c r="BA16" s="7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</row>
    <row r="17" spans="1:101" ht="24.9" customHeight="1">
      <c r="A17" s="931"/>
      <c r="B17" s="931"/>
      <c r="C17" s="931"/>
      <c r="D17" s="1"/>
      <c r="E17" s="1"/>
      <c r="F17" s="1"/>
      <c r="G17" s="1"/>
      <c r="H17" s="1"/>
      <c r="I17" s="1"/>
      <c r="J17" s="1"/>
      <c r="K17" s="301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1624"/>
      <c r="Z17" s="1625"/>
      <c r="AA17" s="1625"/>
      <c r="AB17" s="1625"/>
      <c r="AC17" s="1625"/>
      <c r="AD17" s="1625"/>
      <c r="AE17" s="1625"/>
      <c r="AF17" s="1625"/>
      <c r="AG17" s="1625"/>
      <c r="AH17" s="1625"/>
      <c r="AI17" s="1625"/>
      <c r="AJ17" s="1625"/>
      <c r="AK17" s="1625"/>
      <c r="AL17" s="1625"/>
      <c r="AM17" s="1625"/>
      <c r="AN17" s="1625"/>
      <c r="AO17" s="1626"/>
      <c r="AP17" s="328"/>
      <c r="AQ17" s="328"/>
      <c r="AR17" s="328"/>
      <c r="AS17" s="328"/>
      <c r="AT17" s="328"/>
      <c r="AU17" s="328"/>
      <c r="AV17" s="358"/>
      <c r="AW17" s="328"/>
      <c r="AX17" s="9"/>
      <c r="AY17" s="9"/>
      <c r="AZ17" s="9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</row>
    <row r="18" spans="1:101" ht="24.9" customHeight="1">
      <c r="A18" s="1"/>
      <c r="B18" s="932"/>
      <c r="C18" s="933"/>
      <c r="D18" s="933"/>
      <c r="E18" s="933"/>
      <c r="F18" s="2"/>
      <c r="G18" s="2"/>
      <c r="H18" s="1"/>
      <c r="I18" s="1"/>
      <c r="J18" s="1"/>
      <c r="K18" s="301"/>
      <c r="L18" s="300"/>
      <c r="M18" s="300"/>
      <c r="N18" s="300"/>
      <c r="O18" s="300"/>
      <c r="P18" s="300"/>
      <c r="Q18" s="300"/>
      <c r="R18" s="300"/>
      <c r="S18" s="300"/>
      <c r="T18" s="300"/>
      <c r="U18" s="300"/>
      <c r="V18" s="300"/>
      <c r="W18" s="300"/>
      <c r="X18" s="300"/>
      <c r="Y18" s="1627"/>
      <c r="Z18" s="1628"/>
      <c r="AA18" s="1628"/>
      <c r="AB18" s="1628"/>
      <c r="AC18" s="1628"/>
      <c r="AD18" s="1628"/>
      <c r="AE18" s="1628"/>
      <c r="AF18" s="1628"/>
      <c r="AG18" s="1628"/>
      <c r="AH18" s="1628"/>
      <c r="AI18" s="1628"/>
      <c r="AJ18" s="1628"/>
      <c r="AK18" s="1628"/>
      <c r="AL18" s="1628"/>
      <c r="AM18" s="1628"/>
      <c r="AN18" s="1628"/>
      <c r="AO18" s="1629"/>
      <c r="AP18" s="328"/>
      <c r="AQ18" s="328"/>
      <c r="AR18" s="328"/>
      <c r="AS18" s="328"/>
      <c r="AT18" s="328"/>
      <c r="AU18" s="328"/>
      <c r="AV18" s="12"/>
      <c r="AW18" s="328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</row>
    <row r="19" spans="1:101" ht="24.9" customHeight="1">
      <c r="A19" s="1"/>
      <c r="B19" s="303"/>
      <c r="C19" s="3"/>
      <c r="D19" s="3"/>
      <c r="E19" s="3"/>
      <c r="F19" s="2"/>
      <c r="G19" s="2"/>
      <c r="H19" s="1"/>
      <c r="I19" s="1"/>
      <c r="J19" s="1"/>
      <c r="K19" s="301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300"/>
      <c r="W19" s="300"/>
      <c r="X19" s="300"/>
      <c r="Y19" s="1619"/>
      <c r="Z19" s="1620"/>
      <c r="AA19" s="1620"/>
      <c r="AB19" s="1620"/>
      <c r="AC19" s="1620"/>
      <c r="AD19" s="1620"/>
      <c r="AE19" s="1620"/>
      <c r="AF19" s="1620"/>
      <c r="AG19" s="1620"/>
      <c r="AH19" s="1620"/>
      <c r="AI19" s="1620"/>
      <c r="AJ19" s="1620"/>
      <c r="AK19" s="1620"/>
      <c r="AL19" s="1620"/>
      <c r="AM19" s="1620"/>
      <c r="AN19" s="1620"/>
      <c r="AO19" s="1621"/>
      <c r="AP19" s="328"/>
      <c r="AQ19" s="328"/>
      <c r="AR19" s="328"/>
      <c r="AS19" s="328"/>
      <c r="AT19" s="328"/>
      <c r="AU19" s="328"/>
      <c r="AV19" s="12"/>
      <c r="AW19" s="328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</row>
    <row r="20" spans="1:101" ht="24.9" customHeight="1">
      <c r="A20" s="1"/>
      <c r="B20" s="303"/>
      <c r="C20" s="3"/>
      <c r="D20" s="3"/>
      <c r="E20" s="3"/>
      <c r="F20" s="2"/>
      <c r="G20" s="2"/>
      <c r="H20" s="1"/>
      <c r="I20" s="1"/>
      <c r="J20" s="1"/>
      <c r="K20" s="301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1619"/>
      <c r="Z20" s="1620"/>
      <c r="AA20" s="1620"/>
      <c r="AB20" s="1620"/>
      <c r="AC20" s="1620"/>
      <c r="AD20" s="1620"/>
      <c r="AE20" s="1620"/>
      <c r="AF20" s="1620"/>
      <c r="AG20" s="1620"/>
      <c r="AH20" s="1620"/>
      <c r="AI20" s="1620"/>
      <c r="AJ20" s="1620"/>
      <c r="AK20" s="1620"/>
      <c r="AL20" s="1620"/>
      <c r="AM20" s="1620"/>
      <c r="AN20" s="1620"/>
      <c r="AO20" s="1621"/>
      <c r="AP20" s="328"/>
      <c r="AQ20" s="328"/>
      <c r="AR20" s="328"/>
      <c r="AS20" s="328"/>
      <c r="AT20" s="328"/>
      <c r="AU20" s="328"/>
      <c r="AV20" s="326"/>
      <c r="AW20" s="328"/>
      <c r="AX20" s="326"/>
      <c r="AY20" s="1"/>
      <c r="AZ20" s="326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</row>
    <row r="21" spans="1:101" ht="24.9" customHeight="1">
      <c r="A21" s="304"/>
      <c r="B21" s="304"/>
      <c r="C21" s="304"/>
      <c r="D21" s="304"/>
      <c r="E21" s="304"/>
      <c r="F21" s="10"/>
      <c r="G21" s="1"/>
      <c r="H21" s="1"/>
      <c r="I21" s="1"/>
      <c r="J21" s="1"/>
      <c r="K21" s="301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56"/>
      <c r="X21" s="325"/>
      <c r="Y21" s="1627"/>
      <c r="Z21" s="1628"/>
      <c r="AA21" s="1628"/>
      <c r="AB21" s="1628"/>
      <c r="AC21" s="1628"/>
      <c r="AD21" s="1628"/>
      <c r="AE21" s="1628"/>
      <c r="AF21" s="1628"/>
      <c r="AG21" s="1628"/>
      <c r="AH21" s="1628"/>
      <c r="AI21" s="1628"/>
      <c r="AJ21" s="1628"/>
      <c r="AK21" s="1628"/>
      <c r="AL21" s="1628"/>
      <c r="AM21" s="1628"/>
      <c r="AN21" s="1628"/>
      <c r="AO21" s="1629"/>
      <c r="AP21" s="328"/>
      <c r="AQ21" s="328"/>
      <c r="AR21" s="328"/>
      <c r="AS21" s="328"/>
      <c r="AT21" s="328"/>
      <c r="AU21" s="328"/>
      <c r="AV21" s="326"/>
      <c r="AW21" s="328"/>
      <c r="AX21" s="326"/>
      <c r="AY21" s="1"/>
      <c r="AZ21" s="326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</row>
    <row r="22" spans="1:101" ht="24.9" customHeight="1">
      <c r="A22" s="16"/>
      <c r="B22" s="15"/>
      <c r="C22" s="13"/>
      <c r="D22" s="3"/>
      <c r="E22" s="3"/>
      <c r="F22" s="3"/>
      <c r="G22" s="3"/>
      <c r="H22" s="3"/>
      <c r="I22" s="3"/>
      <c r="J22" s="3"/>
      <c r="K22" s="4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46"/>
      <c r="X22" s="325"/>
      <c r="Y22" s="1619"/>
      <c r="Z22" s="1620"/>
      <c r="AA22" s="1620"/>
      <c r="AB22" s="1620"/>
      <c r="AC22" s="1620"/>
      <c r="AD22" s="1620"/>
      <c r="AE22" s="1620"/>
      <c r="AF22" s="1620"/>
      <c r="AG22" s="1620"/>
      <c r="AH22" s="1620"/>
      <c r="AI22" s="1620"/>
      <c r="AJ22" s="1620"/>
      <c r="AK22" s="1620"/>
      <c r="AL22" s="1620"/>
      <c r="AM22" s="1620"/>
      <c r="AN22" s="1620"/>
      <c r="AO22" s="1621"/>
      <c r="AP22" s="328"/>
      <c r="AQ22" s="328"/>
      <c r="AR22" s="328"/>
      <c r="AS22" s="328"/>
      <c r="AT22" s="328"/>
      <c r="AU22" s="328"/>
      <c r="AV22" s="326"/>
      <c r="AW22" s="328"/>
      <c r="AX22" s="326"/>
      <c r="AY22" s="3"/>
      <c r="AZ22" s="326"/>
      <c r="BA22" s="3"/>
      <c r="BB22" s="3"/>
      <c r="BC22" s="3"/>
      <c r="BD22" s="3"/>
      <c r="BE22" s="3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</row>
    <row r="23" spans="1:101" ht="24.9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301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46"/>
      <c r="X23" s="325"/>
      <c r="Y23" s="1619"/>
      <c r="Z23" s="1620"/>
      <c r="AA23" s="1620"/>
      <c r="AB23" s="1620"/>
      <c r="AC23" s="1620"/>
      <c r="AD23" s="1620"/>
      <c r="AE23" s="1620"/>
      <c r="AF23" s="1620"/>
      <c r="AG23" s="1620"/>
      <c r="AH23" s="1620"/>
      <c r="AI23" s="1620"/>
      <c r="AJ23" s="1620"/>
      <c r="AK23" s="1620"/>
      <c r="AL23" s="1620"/>
      <c r="AM23" s="1620"/>
      <c r="AN23" s="1620"/>
      <c r="AO23" s="1621"/>
      <c r="AP23" s="347"/>
      <c r="AQ23" s="347"/>
      <c r="AR23" s="347"/>
      <c r="AS23" s="347"/>
      <c r="AT23" s="347"/>
      <c r="AU23" s="347"/>
      <c r="AV23" s="326"/>
      <c r="AW23" s="347"/>
      <c r="AX23" s="326"/>
      <c r="AY23" s="1"/>
      <c r="AZ23" s="326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</row>
    <row r="24" spans="1:101" ht="24.9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301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56"/>
      <c r="X24" s="325"/>
      <c r="Y24" s="1627"/>
      <c r="Z24" s="1628"/>
      <c r="AA24" s="1628"/>
      <c r="AB24" s="1628"/>
      <c r="AC24" s="1628"/>
      <c r="AD24" s="1628"/>
      <c r="AE24" s="1628"/>
      <c r="AF24" s="1628"/>
      <c r="AG24" s="1628"/>
      <c r="AH24" s="1628"/>
      <c r="AI24" s="1628"/>
      <c r="AJ24" s="1628"/>
      <c r="AK24" s="1628"/>
      <c r="AL24" s="1628"/>
      <c r="AM24" s="1628"/>
      <c r="AN24" s="1628"/>
      <c r="AO24" s="1629"/>
      <c r="AP24" s="347"/>
      <c r="AQ24" s="347"/>
      <c r="AR24" s="347"/>
      <c r="AS24" s="347"/>
      <c r="AT24" s="347"/>
      <c r="AU24" s="347"/>
      <c r="AV24" s="326"/>
      <c r="AW24" s="347"/>
      <c r="AX24" s="326"/>
      <c r="AY24" s="1"/>
      <c r="AZ24" s="326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</row>
    <row r="25" spans="1:101" ht="24.9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301"/>
      <c r="L25" s="301"/>
      <c r="M25" s="301"/>
      <c r="N25" s="301"/>
      <c r="O25" s="301"/>
      <c r="P25" s="301"/>
      <c r="Q25" s="301"/>
      <c r="R25" s="301"/>
      <c r="S25" s="301"/>
      <c r="T25" s="301"/>
      <c r="U25" s="301"/>
      <c r="V25" s="301"/>
      <c r="W25" s="357"/>
      <c r="X25" s="301"/>
      <c r="Y25" s="1630"/>
      <c r="Z25" s="1631"/>
      <c r="AA25" s="1631"/>
      <c r="AB25" s="1631"/>
      <c r="AC25" s="1631"/>
      <c r="AD25" s="1631"/>
      <c r="AE25" s="1631"/>
      <c r="AF25" s="1631"/>
      <c r="AG25" s="1631"/>
      <c r="AH25" s="1631"/>
      <c r="AI25" s="1631"/>
      <c r="AJ25" s="1631"/>
      <c r="AK25" s="1631"/>
      <c r="AL25" s="1631"/>
      <c r="AM25" s="1631"/>
      <c r="AN25" s="1631"/>
      <c r="AO25" s="1632"/>
      <c r="AP25" s="347"/>
      <c r="AQ25" s="347"/>
      <c r="AR25" s="347"/>
      <c r="AS25" s="347"/>
      <c r="AT25" s="347"/>
      <c r="AU25" s="347"/>
      <c r="AV25" s="12"/>
      <c r="AW25" s="347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</row>
    <row r="26" spans="1:101" ht="16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301"/>
      <c r="L26" s="301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57"/>
      <c r="X26" s="301"/>
      <c r="Y26" s="301"/>
      <c r="Z26" s="301"/>
      <c r="AA26" s="301"/>
      <c r="AB26" s="301"/>
      <c r="AC26" s="338"/>
      <c r="AD26" s="338"/>
      <c r="AE26" s="338"/>
      <c r="AF26" s="338"/>
      <c r="AG26" s="338"/>
      <c r="AH26" s="338"/>
      <c r="AI26" s="338"/>
      <c r="AJ26" s="338"/>
      <c r="AK26" s="338"/>
      <c r="AL26" s="338"/>
      <c r="AM26" s="347"/>
      <c r="AN26" s="347"/>
      <c r="AO26" s="347"/>
      <c r="AP26" s="347"/>
      <c r="AQ26" s="347"/>
      <c r="AR26" s="347"/>
      <c r="AS26" s="347"/>
      <c r="AT26" s="347"/>
      <c r="AU26" s="347"/>
      <c r="AV26" s="12"/>
      <c r="AW26" s="347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</row>
    <row r="27" spans="1:101" ht="16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57"/>
      <c r="X27" s="301"/>
      <c r="Y27" s="301"/>
      <c r="Z27" s="301"/>
      <c r="AA27" s="301"/>
      <c r="AB27" s="301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47"/>
      <c r="AN27" s="347"/>
      <c r="AO27" s="347"/>
      <c r="AP27" s="347"/>
      <c r="AQ27" s="347"/>
      <c r="AR27" s="347"/>
      <c r="AS27" s="347"/>
      <c r="AT27" s="347"/>
      <c r="AU27" s="347"/>
      <c r="AV27" s="12"/>
      <c r="AW27" s="347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</row>
    <row r="28" spans="1:101" ht="16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57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301"/>
      <c r="AT28" s="301"/>
      <c r="AU28" s="301"/>
      <c r="AV28" s="12"/>
      <c r="AW28" s="30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</row>
    <row r="29" spans="1:101" ht="21.9" customHeight="1">
      <c r="A29" s="1"/>
      <c r="B29" s="1"/>
      <c r="C29" s="1"/>
      <c r="D29" s="1"/>
      <c r="E29" s="1"/>
      <c r="F29" s="1"/>
      <c r="G29" s="1"/>
      <c r="H29" s="1"/>
      <c r="I29" s="1"/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8"/>
      <c r="X29" s="327"/>
      <c r="Y29" s="328"/>
      <c r="Z29" s="327"/>
      <c r="AA29" s="328"/>
      <c r="AB29" s="301"/>
      <c r="AC29" s="326"/>
      <c r="AD29" s="326"/>
      <c r="AE29" s="326"/>
      <c r="AF29" s="326"/>
      <c r="AG29" s="326"/>
      <c r="AH29" s="326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12"/>
      <c r="AW29" s="326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</row>
    <row r="30" spans="1:101" ht="16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28"/>
      <c r="X30" s="301"/>
      <c r="Y30" s="328"/>
      <c r="Z30" s="301"/>
      <c r="AA30" s="328"/>
      <c r="AB30" s="301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26"/>
      <c r="AN30" s="326"/>
      <c r="AO30" s="326"/>
      <c r="AP30" s="326"/>
      <c r="AQ30" s="326"/>
      <c r="AR30" s="326"/>
      <c r="AS30" s="326"/>
      <c r="AT30" s="326"/>
      <c r="AU30" s="326"/>
      <c r="AV30" s="348"/>
      <c r="AW30" s="326"/>
      <c r="AX30" s="348"/>
      <c r="AY30" s="1"/>
      <c r="AZ30" s="348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</row>
    <row r="31" spans="1:101" ht="16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28"/>
      <c r="X31" s="301"/>
      <c r="Y31" s="328"/>
      <c r="Z31" s="301"/>
      <c r="AA31" s="328"/>
      <c r="AB31" s="301"/>
      <c r="AC31" s="326"/>
      <c r="AD31" s="326"/>
      <c r="AE31" s="326"/>
      <c r="AF31" s="326"/>
      <c r="AG31" s="326"/>
      <c r="AH31" s="326"/>
      <c r="AI31" s="326"/>
      <c r="AJ31" s="326"/>
      <c r="AK31" s="326"/>
      <c r="AL31" s="326"/>
      <c r="AM31" s="326"/>
      <c r="AN31" s="326"/>
      <c r="AO31" s="326"/>
      <c r="AP31" s="326"/>
      <c r="AQ31" s="326"/>
      <c r="AR31" s="326"/>
      <c r="AS31" s="326"/>
      <c r="AT31" s="326"/>
      <c r="AU31" s="326"/>
      <c r="AV31" s="348"/>
      <c r="AW31" s="326"/>
      <c r="AX31" s="348"/>
      <c r="AY31" s="1"/>
      <c r="AZ31" s="348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</row>
    <row r="32" spans="1:101" ht="16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28"/>
      <c r="X32" s="301"/>
      <c r="Y32" s="328"/>
      <c r="Z32" s="301"/>
      <c r="AA32" s="328"/>
      <c r="AB32" s="301"/>
      <c r="AC32" s="342"/>
      <c r="AD32" s="342"/>
      <c r="AE32" s="342"/>
      <c r="AF32" s="342"/>
      <c r="AG32" s="342"/>
      <c r="AH32" s="342"/>
      <c r="AI32" s="342"/>
      <c r="AJ32" s="342"/>
      <c r="AK32" s="342"/>
      <c r="AL32" s="342"/>
      <c r="AM32" s="326"/>
      <c r="AN32" s="326"/>
      <c r="AO32" s="326"/>
      <c r="AP32" s="326"/>
      <c r="AQ32" s="326"/>
      <c r="AR32" s="326"/>
      <c r="AS32" s="326"/>
      <c r="AT32" s="326"/>
      <c r="AU32" s="326"/>
      <c r="AV32" s="355"/>
      <c r="AW32" s="326"/>
      <c r="AX32" s="355"/>
      <c r="AY32" s="1"/>
      <c r="AZ32" s="354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</row>
    <row r="33" spans="1:101" ht="16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28"/>
      <c r="X33" s="301"/>
      <c r="Y33" s="328"/>
      <c r="Z33" s="301"/>
      <c r="AA33" s="328"/>
      <c r="AB33" s="301"/>
      <c r="AC33" s="342"/>
      <c r="AD33" s="342"/>
      <c r="AE33" s="342"/>
      <c r="AF33" s="342"/>
      <c r="AG33" s="342"/>
      <c r="AH33" s="342"/>
      <c r="AI33" s="342"/>
      <c r="AJ33" s="342"/>
      <c r="AK33" s="342"/>
      <c r="AL33" s="342"/>
      <c r="AM33" s="326"/>
      <c r="AN33" s="326"/>
      <c r="AO33" s="326"/>
      <c r="AP33" s="326"/>
      <c r="AQ33" s="326"/>
      <c r="AR33" s="326"/>
      <c r="AS33" s="326"/>
      <c r="AT33" s="326"/>
      <c r="AU33" s="326"/>
      <c r="AV33" s="326"/>
      <c r="AW33" s="326"/>
      <c r="AX33" s="34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</row>
    <row r="34" spans="1:101" ht="16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28"/>
      <c r="X34" s="301"/>
      <c r="Y34" s="328"/>
      <c r="Z34" s="301"/>
      <c r="AA34" s="328"/>
      <c r="AB34" s="301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348"/>
      <c r="AT34" s="348"/>
      <c r="AU34" s="348"/>
      <c r="AV34" s="348"/>
      <c r="AW34" s="348"/>
      <c r="AX34" s="34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</row>
    <row r="35" spans="1:101" ht="15.6">
      <c r="A35" s="1"/>
      <c r="B35" s="1"/>
      <c r="C35" s="1"/>
      <c r="D35" s="1"/>
      <c r="E35" s="1"/>
      <c r="F35" s="1"/>
      <c r="G35" s="1"/>
      <c r="H35" s="1"/>
      <c r="I35" s="1"/>
      <c r="J35" s="1"/>
      <c r="K35" s="301"/>
      <c r="L35" s="301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48"/>
      <c r="AN35" s="348"/>
      <c r="AO35" s="348"/>
      <c r="AP35" s="348"/>
      <c r="AQ35" s="348"/>
      <c r="AR35" s="348"/>
      <c r="AS35" s="348"/>
      <c r="AT35" s="348"/>
      <c r="AU35" s="348"/>
      <c r="AV35" s="348"/>
      <c r="AW35" s="348"/>
      <c r="AX35" s="34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</row>
    <row r="36" spans="1:101">
      <c r="A36" s="1"/>
      <c r="B36" s="1"/>
      <c r="C36" s="1"/>
      <c r="D36" s="1"/>
      <c r="E36" s="1"/>
      <c r="F36" s="1"/>
      <c r="G36" s="1"/>
      <c r="H36" s="1"/>
      <c r="I36" s="1"/>
      <c r="J36" s="1"/>
      <c r="K36" s="301"/>
      <c r="L36" s="301"/>
      <c r="M36" s="301"/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  <c r="Y36" s="301"/>
      <c r="Z36" s="301"/>
      <c r="AA36" s="301"/>
      <c r="AB36" s="301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  <c r="AP36" s="339"/>
      <c r="AQ36" s="339"/>
      <c r="AR36" s="339"/>
      <c r="AS36" s="339"/>
      <c r="AT36" s="339"/>
      <c r="AU36" s="339"/>
      <c r="AV36" s="339"/>
      <c r="AW36" s="33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</row>
    <row r="37" spans="1:10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</row>
    <row r="38" spans="1:10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</row>
    <row r="39" spans="1:10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</row>
    <row r="40" spans="1:10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</row>
    <row r="41" spans="1:10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</row>
    <row r="42" spans="1:10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</row>
    <row r="43" spans="1:10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</row>
    <row r="44" spans="1:10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</row>
    <row r="45" spans="1:10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</row>
    <row r="46" spans="1:10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</row>
    <row r="47" spans="1:10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</row>
    <row r="48" spans="1:10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</row>
    <row r="49" spans="1:10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</row>
    <row r="50" spans="1:10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</row>
    <row r="51" spans="1:10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</row>
    <row r="52" spans="1:10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</row>
    <row r="53" spans="1:10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</row>
    <row r="54" spans="1:10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</row>
    <row r="55" spans="1:10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</row>
    <row r="56" spans="1:10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</row>
    <row r="57" spans="1:10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</row>
    <row r="58" spans="1:10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</row>
    <row r="59" spans="1:10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</row>
    <row r="60" spans="1:10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</row>
    <row r="61" spans="1:10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</row>
    <row r="62" spans="1:10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</row>
    <row r="63" spans="1:10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</row>
    <row r="64" spans="1:10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</row>
    <row r="65" spans="1:10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</row>
    <row r="66" spans="1:10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</row>
    <row r="67" spans="1:10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</row>
    <row r="68" spans="1:10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</row>
    <row r="69" spans="1:10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</row>
    <row r="70" spans="1:10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</row>
    <row r="71" spans="1:10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</row>
    <row r="72" spans="1:10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</row>
    <row r="73" spans="1:10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</row>
    <row r="74" spans="1:10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</row>
    <row r="75" spans="1:10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</row>
    <row r="76" spans="1:10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</row>
    <row r="77" spans="1:10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</row>
    <row r="78" spans="1:10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</row>
    <row r="79" spans="1:10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</row>
    <row r="80" spans="1:10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</row>
    <row r="81" spans="1:10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</row>
    <row r="82" spans="1:10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</row>
    <row r="83" spans="1:10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</row>
    <row r="84" spans="1:10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</row>
    <row r="85" spans="1:10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</row>
    <row r="86" spans="1:10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</row>
    <row r="87" spans="1:10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</row>
    <row r="88" spans="1:10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</row>
    <row r="89" spans="1:10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</row>
    <row r="90" spans="1:10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</row>
    <row r="91" spans="1:10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</row>
    <row r="92" spans="1:10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</row>
    <row r="93" spans="1:10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</row>
    <row r="94" spans="1:10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</row>
    <row r="95" spans="1:10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</row>
    <row r="96" spans="1:10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</row>
    <row r="97" spans="1:10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</row>
    <row r="98" spans="1:10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</row>
    <row r="99" spans="1:10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</row>
    <row r="100" spans="1:10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</row>
    <row r="101" spans="1: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</row>
    <row r="102" spans="1:10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</row>
    <row r="103" spans="1:10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</row>
    <row r="104" spans="1:10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</row>
    <row r="105" spans="1:10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</row>
    <row r="106" spans="1:10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</row>
    <row r="107" spans="1:10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</row>
    <row r="108" spans="1:10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</row>
    <row r="109" spans="1:10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</row>
    <row r="110" spans="1:10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</row>
    <row r="111" spans="1:10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</row>
    <row r="112" spans="1:10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</row>
    <row r="113" spans="1:10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</row>
    <row r="114" spans="1:10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</row>
    <row r="115" spans="1:10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</row>
    <row r="116" spans="1:10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</row>
    <row r="117" spans="1:10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</row>
    <row r="118" spans="1:10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</row>
    <row r="119" spans="1:10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</row>
    <row r="120" spans="1:10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</row>
    <row r="121" spans="1:10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</row>
    <row r="122" spans="1:10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</row>
    <row r="123" spans="1:10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</row>
    <row r="124" spans="1:10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</row>
    <row r="125" spans="1:10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</row>
    <row r="126" spans="1:10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</row>
    <row r="127" spans="1:10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</row>
    <row r="128" spans="1:10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</row>
    <row r="129" spans="1:10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</row>
    <row r="130" spans="1:10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</row>
    <row r="131" spans="1:10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</row>
    <row r="132" spans="1:10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</row>
    <row r="133" spans="1:10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</row>
    <row r="134" spans="1:10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</row>
    <row r="135" spans="1:10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</row>
    <row r="136" spans="1:10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</row>
    <row r="137" spans="1:10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</row>
    <row r="138" spans="1:10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</row>
    <row r="139" spans="1:10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</row>
    <row r="140" spans="1:10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</row>
    <row r="141" spans="1:10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</row>
    <row r="142" spans="1:10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</row>
    <row r="143" spans="1:10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</row>
    <row r="144" spans="1:10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</row>
    <row r="145" spans="1:10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</row>
    <row r="146" spans="1:10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</row>
    <row r="147" spans="1:10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</row>
    <row r="148" spans="1:10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</row>
    <row r="149" spans="1:10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</row>
    <row r="150" spans="1:10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</row>
    <row r="151" spans="1:10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</row>
    <row r="152" spans="1:10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</row>
    <row r="153" spans="1:10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</row>
    <row r="154" spans="1:10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</row>
    <row r="155" spans="1:10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</row>
    <row r="156" spans="1:10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</row>
    <row r="157" spans="1:10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</row>
    <row r="158" spans="1:10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</row>
    <row r="159" spans="1:10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</row>
    <row r="160" spans="1:10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</row>
    <row r="161" spans="1:10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</row>
    <row r="162" spans="1:10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</row>
    <row r="163" spans="1:10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</row>
    <row r="164" spans="1:10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</row>
    <row r="165" spans="1:10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</row>
    <row r="166" spans="1:10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</row>
    <row r="167" spans="1:10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</row>
    <row r="168" spans="1:10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</row>
    <row r="169" spans="1:10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</row>
    <row r="170" spans="1:10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</row>
    <row r="171" spans="1:10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</row>
    <row r="172" spans="1:10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</row>
    <row r="173" spans="1:10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</row>
    <row r="174" spans="1:10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</row>
    <row r="175" spans="1:10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</row>
    <row r="176" spans="1:10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</row>
    <row r="177" spans="1:10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</row>
    <row r="178" spans="1:10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</row>
    <row r="179" spans="1:10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</row>
    <row r="180" spans="1:10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</row>
    <row r="181" spans="1:10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</row>
    <row r="182" spans="1:10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</row>
    <row r="183" spans="1:10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</row>
    <row r="184" spans="1:10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</row>
    <row r="185" spans="1:10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</row>
    <row r="186" spans="1:10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</row>
    <row r="187" spans="1:10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</row>
    <row r="188" spans="1:10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</row>
    <row r="189" spans="1:10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</row>
    <row r="190" spans="1:10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</row>
    <row r="191" spans="1:10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</row>
    <row r="192" spans="1:10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</row>
    <row r="193" spans="1:10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</row>
    <row r="194" spans="1:10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</row>
    <row r="195" spans="1:10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</row>
    <row r="196" spans="1:101"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</row>
    <row r="197" spans="1:101"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</row>
    <row r="198" spans="1:101"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</row>
    <row r="199" spans="1:101"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</row>
    <row r="200" spans="1:101"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</row>
    <row r="201" spans="1:101"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</row>
    <row r="202" spans="1:101"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</row>
    <row r="203" spans="1:101"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</row>
    <row r="204" spans="1:101"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</row>
  </sheetData>
  <sheetProtection algorithmName="SHA-512" hashValue="Oapw2AT5VrbKMu7ohCmftk1uP/OQk1xqDp2Zm5JHd+wLK73S7kLFZ37rYBfJNEPy2a5whr5oqhssWcVCCyAJfg==" saltValue="yTqMzHPxRXhuHXqq9PcQzw==" spinCount="100000" sheet="1" objects="1" scenarios="1"/>
  <protectedRanges>
    <protectedRange sqref="Y11:AO25" name="Bereik1"/>
  </protectedRanges>
  <mergeCells count="23">
    <mergeCell ref="Y24:AO24"/>
    <mergeCell ref="Y25:AO25"/>
    <mergeCell ref="Y19:AO19"/>
    <mergeCell ref="Y20:AO20"/>
    <mergeCell ref="Y21:AO21"/>
    <mergeCell ref="Y22:AO22"/>
    <mergeCell ref="Y23:AO23"/>
    <mergeCell ref="J9:BC9"/>
    <mergeCell ref="B18:E18"/>
    <mergeCell ref="Y11:AO11"/>
    <mergeCell ref="Y12:AO12"/>
    <mergeCell ref="AC3:BD3"/>
    <mergeCell ref="J5:BC5"/>
    <mergeCell ref="AX6:BB6"/>
    <mergeCell ref="J7:BC7"/>
    <mergeCell ref="J8:BC8"/>
    <mergeCell ref="A17:C17"/>
    <mergeCell ref="Y13:AO13"/>
    <mergeCell ref="Y14:AO14"/>
    <mergeCell ref="Y15:AO15"/>
    <mergeCell ref="Y16:AO16"/>
    <mergeCell ref="Y17:AO17"/>
    <mergeCell ref="Y18:AO18"/>
  </mergeCells>
  <pageMargins left="0.11811023622047245" right="0.15748031496062992" top="0.11811023622047245" bottom="0.19685039370078741" header="0.11811023622047245" footer="0.19685039370078741"/>
  <pageSetup paperSize="9" scale="8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>
    <tabColor theme="0"/>
    <pageSetUpPr fitToPage="1"/>
  </sheetPr>
  <dimension ref="A1:CW209"/>
  <sheetViews>
    <sheetView showGridLines="0" showRowColHeaders="0" zoomScaleNormal="100" workbookViewId="0"/>
  </sheetViews>
  <sheetFormatPr defaultColWidth="9" defaultRowHeight="14.85"/>
  <cols>
    <col min="1" max="1" width="5.7109375" customWidth="1"/>
    <col min="2" max="2" width="14.7109375" customWidth="1"/>
    <col min="4" max="4" width="3.140625" customWidth="1"/>
    <col min="5" max="5" width="1.140625" customWidth="1"/>
    <col min="6" max="6" width="7.85546875" customWidth="1"/>
    <col min="7" max="7" width="4.42578125" customWidth="1"/>
    <col min="8" max="8" width="4" customWidth="1"/>
    <col min="9" max="39" width="3.7109375" customWidth="1"/>
    <col min="40" max="40" width="4.42578125" customWidth="1"/>
    <col min="41" max="53" width="3.7109375" customWidth="1"/>
    <col min="54" max="54" width="4" customWidth="1"/>
  </cols>
  <sheetData>
    <row r="1" spans="1:95" ht="20.0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  <c r="AA1" s="3"/>
      <c r="AB1" s="3"/>
      <c r="AC1" s="929" t="s">
        <v>444</v>
      </c>
      <c r="AD1" s="929"/>
      <c r="AE1" s="929"/>
      <c r="AF1" s="929"/>
      <c r="AG1" s="929"/>
      <c r="AH1" s="929"/>
      <c r="AI1" s="929"/>
      <c r="AJ1" s="929"/>
      <c r="AK1" s="929"/>
      <c r="AL1" s="929"/>
      <c r="AM1" s="929"/>
      <c r="AN1" s="929"/>
      <c r="AO1" s="929"/>
      <c r="AP1" s="929"/>
      <c r="AQ1" s="929"/>
      <c r="AR1" s="929"/>
      <c r="AS1" s="929"/>
      <c r="AT1" s="929"/>
      <c r="AU1" s="929"/>
      <c r="AV1" s="929"/>
      <c r="AW1" s="929"/>
      <c r="AX1" s="929"/>
      <c r="AY1" s="929"/>
      <c r="AZ1" s="929"/>
      <c r="BA1" s="929"/>
      <c r="BB1" s="929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</row>
    <row r="2" spans="1:95" ht="97.4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  <c r="AA2" s="3"/>
      <c r="AB2" s="3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/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1:95" ht="20.0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929"/>
      <c r="AD3" s="929"/>
      <c r="AE3" s="929"/>
      <c r="AF3" s="929"/>
      <c r="AG3" s="929"/>
      <c r="AH3" s="929"/>
      <c r="AI3" s="929"/>
      <c r="AJ3" s="929"/>
      <c r="AK3" s="929"/>
      <c r="AL3" s="929"/>
      <c r="AM3" s="929"/>
      <c r="AN3" s="929"/>
      <c r="AO3" s="929"/>
      <c r="AP3" s="929"/>
      <c r="AQ3" s="929"/>
      <c r="AR3" s="929"/>
      <c r="AS3" s="929"/>
      <c r="AT3" s="929"/>
      <c r="AU3" s="929"/>
      <c r="AV3" s="929"/>
      <c r="AW3" s="929"/>
      <c r="AX3" s="929"/>
      <c r="AY3" s="929"/>
      <c r="AZ3" s="929"/>
      <c r="BA3" s="929"/>
      <c r="BB3" s="929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5" ht="36.75" customHeight="1">
      <c r="A4" s="1"/>
      <c r="B4" s="1"/>
      <c r="C4" s="1"/>
      <c r="D4" s="1"/>
      <c r="E4" s="1"/>
      <c r="F4" s="1"/>
      <c r="G4" s="1633" t="s">
        <v>541</v>
      </c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4"/>
      <c r="Z4" s="1634"/>
      <c r="AA4" s="1634"/>
      <c r="AB4" s="1634"/>
      <c r="AC4" s="1634"/>
      <c r="AD4" s="1634"/>
      <c r="AE4" s="1634"/>
      <c r="AF4" s="1634"/>
      <c r="AG4" s="1634"/>
      <c r="AH4" s="1634"/>
      <c r="AI4" s="1634"/>
      <c r="AJ4" s="1634"/>
      <c r="AK4" s="1634"/>
      <c r="AL4" s="1634"/>
      <c r="AM4" s="1634"/>
      <c r="AN4" s="1634"/>
      <c r="AO4" s="1634"/>
      <c r="AP4" s="1634"/>
      <c r="AQ4" s="1634"/>
      <c r="AR4" s="1634"/>
      <c r="AS4" s="1634"/>
      <c r="AT4" s="1634"/>
      <c r="AU4" s="1634"/>
      <c r="AV4" s="1634"/>
      <c r="AW4" s="1634"/>
      <c r="AX4" s="1634"/>
      <c r="AY4" s="1634"/>
      <c r="AZ4" s="1634"/>
      <c r="BA4" s="1634"/>
      <c r="BB4" s="1635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1:95" ht="36.75" customHeight="1">
      <c r="A5" s="1"/>
      <c r="B5" s="1"/>
      <c r="C5" s="1"/>
      <c r="D5" s="1"/>
      <c r="E5" s="1"/>
      <c r="F5" s="1"/>
      <c r="G5" s="1639" t="s">
        <v>451</v>
      </c>
      <c r="H5" s="1640"/>
      <c r="I5" s="1640"/>
      <c r="J5" s="1640"/>
      <c r="K5" s="1640"/>
      <c r="L5" s="1640"/>
      <c r="M5" s="1640"/>
      <c r="N5" s="1640"/>
      <c r="O5" s="1640"/>
      <c r="P5" s="1640"/>
      <c r="Q5" s="1640"/>
      <c r="R5" s="1640"/>
      <c r="S5" s="1640"/>
      <c r="T5" s="1640"/>
      <c r="U5" s="1640"/>
      <c r="V5" s="1640"/>
      <c r="W5" s="1640"/>
      <c r="X5" s="1640"/>
      <c r="Y5" s="1640"/>
      <c r="Z5" s="1640"/>
      <c r="AA5" s="1640"/>
      <c r="AB5" s="1640"/>
      <c r="AC5" s="1640"/>
      <c r="AD5" s="1640"/>
      <c r="AE5" s="1640"/>
      <c r="AF5" s="1640"/>
      <c r="AG5" s="1640"/>
      <c r="AH5" s="1640"/>
      <c r="AI5" s="1640"/>
      <c r="AJ5" s="1640"/>
      <c r="AK5" s="1640"/>
      <c r="AL5" s="1640"/>
      <c r="AM5" s="1640"/>
      <c r="AN5" s="1640"/>
      <c r="AO5" s="1640"/>
      <c r="AP5" s="1640"/>
      <c r="AQ5" s="1640"/>
      <c r="AR5" s="1640"/>
      <c r="AS5" s="1640"/>
      <c r="AT5" s="1640"/>
      <c r="AU5" s="1640"/>
      <c r="AV5" s="1640"/>
      <c r="AW5" s="1640"/>
      <c r="AX5" s="1640"/>
      <c r="AY5" s="1640"/>
      <c r="AZ5" s="1640"/>
      <c r="BA5" s="1640"/>
      <c r="BB5" s="164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1:95" ht="14.3" customHeight="1">
      <c r="A6" s="1"/>
      <c r="B6" s="1"/>
      <c r="C6" s="1"/>
      <c r="D6" s="1"/>
      <c r="E6" s="1"/>
      <c r="F6" s="1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96"/>
      <c r="AJ6" s="396"/>
      <c r="AK6" s="396"/>
      <c r="AL6" s="396"/>
      <c r="AM6" s="396"/>
      <c r="AN6" s="396"/>
      <c r="AO6" s="397"/>
      <c r="AP6" s="397"/>
      <c r="AQ6" s="397"/>
      <c r="AR6" s="397"/>
      <c r="AS6" s="397"/>
      <c r="AT6" s="397"/>
      <c r="AU6" s="396"/>
      <c r="AV6" s="396"/>
      <c r="AW6" s="396"/>
      <c r="AX6" s="930">
        <f ca="1">START!AX8</f>
        <v>46093</v>
      </c>
      <c r="AY6" s="930"/>
      <c r="AZ6" s="930"/>
      <c r="BA6" s="930"/>
      <c r="BB6" s="930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1:95" ht="20.0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654" t="s">
        <v>540</v>
      </c>
      <c r="AJ7" s="1655"/>
      <c r="AK7" s="1655"/>
      <c r="AL7" s="1655"/>
      <c r="AM7" s="1655"/>
      <c r="AN7" s="1655"/>
      <c r="AO7" s="1656"/>
      <c r="AP7" s="398"/>
      <c r="AQ7" s="1"/>
      <c r="AR7" s="1"/>
      <c r="AS7" s="1"/>
      <c r="AT7" s="1"/>
      <c r="AU7" s="1"/>
      <c r="AV7" s="1"/>
      <c r="AW7" s="1"/>
      <c r="AX7" s="930"/>
      <c r="AY7" s="930"/>
      <c r="AZ7" s="930"/>
      <c r="BA7" s="930"/>
      <c r="BB7" s="930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1:95" ht="20.0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333"/>
      <c r="M8" s="333"/>
      <c r="N8" s="333"/>
      <c r="O8" s="1653"/>
      <c r="P8" s="1653"/>
      <c r="Q8" s="1653"/>
      <c r="R8" s="1653"/>
      <c r="S8" s="1653"/>
      <c r="T8" s="1653"/>
      <c r="U8" s="1653"/>
      <c r="V8" s="1657" t="s">
        <v>853</v>
      </c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42" t="str">
        <f>IF($AO$8=0,"",$AO$8)</f>
        <v/>
      </c>
      <c r="AK8" s="1643"/>
      <c r="AL8" s="1643"/>
      <c r="AM8" s="1643"/>
      <c r="AN8" s="1644"/>
      <c r="AO8" s="1651">
        <f>SUM(CATERINGBESTELLING!$N$4:$O$5)+SUM(CATERINGBESTELLING!$N$7:$O$10)+SUM(CATERINGBESTELLING!$L$33)+SUM(CATERINGBESTELLING!$N$35:$O$39)+SUM(CATERINGBESTELLING!$N$41:$O$53)+SUM(CATERINGBESTELLING!$N$55)+SUM(CATERINGBESTELLING!$N$57:$O$59)+SUM(CATERINGBESTELLING!$N$61:$O$63)</f>
        <v>0</v>
      </c>
      <c r="AP8" s="1652"/>
      <c r="AQ8" s="335"/>
      <c r="AR8" s="335"/>
      <c r="AS8" s="334"/>
      <c r="AT8" s="296"/>
      <c r="AU8" s="296"/>
      <c r="AV8" s="296"/>
      <c r="AW8" s="296"/>
      <c r="AX8" s="296"/>
      <c r="AY8" s="296"/>
      <c r="AZ8" s="296"/>
      <c r="BA8" s="296"/>
      <c r="BB8" s="296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1:95" ht="20.0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333"/>
      <c r="M9" s="333"/>
      <c r="N9" s="333"/>
      <c r="O9" s="398"/>
      <c r="P9" s="398"/>
      <c r="Q9" s="398"/>
      <c r="R9" s="398"/>
      <c r="S9" s="398"/>
      <c r="T9" s="398"/>
      <c r="U9" s="398"/>
      <c r="V9" s="1657" t="s">
        <v>855</v>
      </c>
      <c r="W9" s="1657"/>
      <c r="X9" s="1657"/>
      <c r="Y9" s="1657"/>
      <c r="Z9" s="1657"/>
      <c r="AA9" s="1657"/>
      <c r="AB9" s="1657"/>
      <c r="AC9" s="1657"/>
      <c r="AD9" s="1657"/>
      <c r="AE9" s="1657"/>
      <c r="AF9" s="1657"/>
      <c r="AG9" s="1657"/>
      <c r="AH9" s="1657"/>
      <c r="AI9" s="1657"/>
      <c r="AJ9" s="1648" t="str">
        <f>IF($AO$9=0,"",$AO$9)</f>
        <v/>
      </c>
      <c r="AK9" s="1649"/>
      <c r="AL9" s="1649"/>
      <c r="AM9" s="1649"/>
      <c r="AN9" s="1650"/>
      <c r="AO9" s="1651">
        <f>SUM(CATERINGBESTELLING!$N$66:$O$70)+SUM(CATERINGBESTELLING!$N$72:$O$74)+SUM(CATERINGBESTELLING!$N$83:$O$92)+SUM(CATERINGBESTELLING!$N$98:$O$117)+SUM(CATERINGBESTELLING!N77:O78)</f>
        <v>0</v>
      </c>
      <c r="AP9" s="1652"/>
      <c r="AQ9" s="335"/>
      <c r="AR9" s="335"/>
      <c r="AS9" s="334"/>
      <c r="AT9" s="296"/>
      <c r="AU9" s="296"/>
      <c r="AV9" s="296"/>
      <c r="AW9" s="296"/>
      <c r="AX9" s="296"/>
      <c r="AY9" s="296"/>
      <c r="AZ9" s="296"/>
      <c r="BA9" s="296"/>
      <c r="BB9" s="296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1:95" ht="20.0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330"/>
      <c r="M10" s="330"/>
      <c r="N10" s="330"/>
      <c r="O10" s="330"/>
      <c r="P10" s="330"/>
      <c r="Q10" s="330"/>
      <c r="R10" s="330"/>
      <c r="S10" s="296"/>
      <c r="T10" s="376"/>
      <c r="U10" s="376"/>
      <c r="V10" s="1657" t="s">
        <v>445</v>
      </c>
      <c r="W10" s="1657"/>
      <c r="X10" s="1657"/>
      <c r="Y10" s="1657"/>
      <c r="Z10" s="1657"/>
      <c r="AA10" s="1657"/>
      <c r="AB10" s="1657"/>
      <c r="AC10" s="1657"/>
      <c r="AD10" s="1657"/>
      <c r="AE10" s="1657"/>
      <c r="AF10" s="1657"/>
      <c r="AG10" s="1657"/>
      <c r="AH10" s="1657"/>
      <c r="AI10" s="1657"/>
      <c r="AJ10" s="1645" t="str">
        <f>IF($AO$10=0,"",$AO$10)</f>
        <v/>
      </c>
      <c r="AK10" s="1646"/>
      <c r="AL10" s="1646"/>
      <c r="AM10" s="1646"/>
      <c r="AN10" s="1647"/>
      <c r="AO10" s="1651">
        <f>SUM(CATERINGBESTELLING!$N$123:$O$137)</f>
        <v>0</v>
      </c>
      <c r="AP10" s="1652"/>
      <c r="AQ10" s="335"/>
      <c r="AR10" s="335"/>
      <c r="AS10" s="334"/>
      <c r="AT10" s="330"/>
      <c r="AU10" s="330"/>
      <c r="AV10" s="11"/>
      <c r="AW10" s="11"/>
      <c r="AX10" s="11"/>
      <c r="AY10" s="11"/>
      <c r="AZ10" s="11"/>
      <c r="BA10" s="1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1:95" ht="20.0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296"/>
      <c r="M11" s="296"/>
      <c r="N11" s="296"/>
      <c r="O11" s="296"/>
      <c r="P11" s="296"/>
      <c r="Q11" s="296"/>
      <c r="R11" s="296"/>
      <c r="S11" s="296"/>
      <c r="T11" s="376"/>
      <c r="U11" s="376"/>
      <c r="V11" s="1657" t="s">
        <v>446</v>
      </c>
      <c r="W11" s="1657"/>
      <c r="X11" s="1657"/>
      <c r="Y11" s="1657"/>
      <c r="Z11" s="1657"/>
      <c r="AA11" s="1657"/>
      <c r="AB11" s="1657"/>
      <c r="AC11" s="1657"/>
      <c r="AD11" s="1657"/>
      <c r="AE11" s="1657"/>
      <c r="AF11" s="1657"/>
      <c r="AG11" s="1657"/>
      <c r="AH11" s="1657"/>
      <c r="AI11" s="1657"/>
      <c r="AJ11" s="1648" t="str">
        <f>IF($AO$11=0,"",$AO$11)</f>
        <v/>
      </c>
      <c r="AK11" s="1649"/>
      <c r="AL11" s="1649"/>
      <c r="AM11" s="1649"/>
      <c r="AN11" s="1650"/>
      <c r="AO11" s="1651">
        <f>SUM(CATERINGBESTELLING!$N$139:$O$149)+SUM(CATERINGBESTELLING!$N$151:$O$158)+SUM(CATERINGBESTELLING!$N$160:$O$167)+SUM(CATERINGBESTELLING!$N$169:$O$179)+SUM(CATERINGBESTELLING!$N$181:$O$182)+SUM(CATERINGBESTELLING!$N$184)</f>
        <v>0</v>
      </c>
      <c r="AP11" s="1652"/>
      <c r="AQ11" s="335"/>
      <c r="AR11" s="335"/>
      <c r="AS11" s="334"/>
      <c r="AT11" s="296"/>
      <c r="AU11" s="296"/>
      <c r="AV11" s="296"/>
      <c r="AW11" s="296"/>
      <c r="AX11" s="296"/>
      <c r="AY11" s="296"/>
      <c r="AZ11" s="296"/>
      <c r="BA11" s="296"/>
      <c r="BB11" s="296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1:95" ht="21.9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309"/>
      <c r="M12" s="309"/>
      <c r="N12" s="309"/>
      <c r="O12" s="309"/>
      <c r="P12" s="309"/>
      <c r="Q12" s="309"/>
      <c r="R12" s="309"/>
      <c r="S12" s="296"/>
      <c r="T12" s="376"/>
      <c r="U12" s="376"/>
      <c r="V12" s="1657" t="s">
        <v>447</v>
      </c>
      <c r="W12" s="1657"/>
      <c r="X12" s="1657"/>
      <c r="Y12" s="1657"/>
      <c r="Z12" s="1657"/>
      <c r="AA12" s="1657"/>
      <c r="AB12" s="1657"/>
      <c r="AC12" s="1657"/>
      <c r="AD12" s="1657"/>
      <c r="AE12" s="1657"/>
      <c r="AF12" s="1657"/>
      <c r="AG12" s="1657"/>
      <c r="AH12" s="1657"/>
      <c r="AI12" s="1657"/>
      <c r="AJ12" s="1648" t="str">
        <f>IF($AO$12=0,"",$AO$12)</f>
        <v/>
      </c>
      <c r="AK12" s="1649"/>
      <c r="AL12" s="1649"/>
      <c r="AM12" s="1649"/>
      <c r="AN12" s="1650"/>
      <c r="AO12" s="1651">
        <f>SUM(CATERINGBESTELLING!$N$188:$O$217)+SUM(CATERINGBESTELLING!$N$229:$O$238)+SUM(CATERINGBESTELLING!$N$240:$O$244)+SUM(CATERINGBESTELLING!$N$246:$O$252)+SUM(CATERINGBESTELLING!$N$255:$O$258)+SUM(CATERINGBESTELLING!N260)</f>
        <v>0</v>
      </c>
      <c r="AP12" s="1652"/>
      <c r="AQ12" s="335"/>
      <c r="AR12" s="335"/>
      <c r="AS12" s="367"/>
      <c r="AT12" s="368"/>
      <c r="AU12" s="368"/>
      <c r="AV12" s="368"/>
      <c r="AW12" s="368"/>
      <c r="AX12" s="368"/>
      <c r="AY12" s="368"/>
      <c r="AZ12" s="309"/>
      <c r="BA12" s="309"/>
      <c r="BB12" s="309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</row>
    <row r="13" spans="1:95" ht="21.9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309"/>
      <c r="M13" s="309"/>
      <c r="N13" s="309"/>
      <c r="O13" s="309"/>
      <c r="P13" s="309"/>
      <c r="Q13" s="309"/>
      <c r="R13" s="309"/>
      <c r="S13" s="296"/>
      <c r="T13" s="376"/>
      <c r="U13" s="376"/>
      <c r="V13" s="1657" t="s">
        <v>854</v>
      </c>
      <c r="W13" s="1657"/>
      <c r="X13" s="1657"/>
      <c r="Y13" s="1657"/>
      <c r="Z13" s="1657"/>
      <c r="AA13" s="1657"/>
      <c r="AB13" s="1657"/>
      <c r="AC13" s="1657"/>
      <c r="AD13" s="1657"/>
      <c r="AE13" s="1657"/>
      <c r="AF13" s="1657"/>
      <c r="AG13" s="1657"/>
      <c r="AH13" s="1657"/>
      <c r="AI13" s="1657"/>
      <c r="AJ13" s="1648" t="str">
        <f>IF($AO$13=0,"",$AO$13)</f>
        <v/>
      </c>
      <c r="AK13" s="1649"/>
      <c r="AL13" s="1649"/>
      <c r="AM13" s="1649"/>
      <c r="AN13" s="1650"/>
      <c r="AO13" s="1651">
        <f>SUM(CATERINGBESTELLING!N221:O227)</f>
        <v>0</v>
      </c>
      <c r="AP13" s="1652"/>
      <c r="AQ13" s="335"/>
      <c r="AR13" s="335"/>
      <c r="AS13" s="367"/>
      <c r="AT13" s="368"/>
      <c r="AU13" s="368"/>
      <c r="AV13" s="368"/>
      <c r="AW13" s="368"/>
      <c r="AX13" s="368"/>
      <c r="AY13" s="368"/>
      <c r="AZ13" s="309"/>
      <c r="BA13" s="309"/>
      <c r="BB13" s="309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1:95" ht="21.9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309"/>
      <c r="M14" s="309"/>
      <c r="N14" s="309"/>
      <c r="O14" s="309"/>
      <c r="P14" s="309"/>
      <c r="Q14" s="309"/>
      <c r="R14" s="309"/>
      <c r="S14" s="296"/>
      <c r="T14" s="376"/>
      <c r="U14" s="376"/>
      <c r="V14" s="1657" t="s">
        <v>448</v>
      </c>
      <c r="W14" s="1657"/>
      <c r="X14" s="1657"/>
      <c r="Y14" s="1657"/>
      <c r="Z14" s="1657"/>
      <c r="AA14" s="1657"/>
      <c r="AB14" s="1657"/>
      <c r="AC14" s="1657"/>
      <c r="AD14" s="1657"/>
      <c r="AE14" s="1657"/>
      <c r="AF14" s="1657"/>
      <c r="AG14" s="1657"/>
      <c r="AH14" s="1657"/>
      <c r="AI14" s="1657"/>
      <c r="AJ14" s="1648" t="str">
        <f>IF($AO$14=0,"",$AO$14)</f>
        <v/>
      </c>
      <c r="AK14" s="1649"/>
      <c r="AL14" s="1649"/>
      <c r="AM14" s="1649"/>
      <c r="AN14" s="1650"/>
      <c r="AO14" s="1651">
        <f>SUM('BBQ-GOURMET BESTELLING'!$L$3:$M$35)+SUM('BBQ-GOURMET BESTELLING'!$L$37:$M$84)</f>
        <v>0</v>
      </c>
      <c r="AP14" s="1652"/>
      <c r="AQ14" s="335"/>
      <c r="AR14" s="335"/>
      <c r="AS14" s="334"/>
      <c r="AT14" s="309"/>
      <c r="AU14" s="309"/>
      <c r="AV14" s="310"/>
      <c r="AW14" s="310"/>
      <c r="AX14" s="310"/>
      <c r="AY14" s="310"/>
      <c r="AZ14" s="310"/>
      <c r="BA14" s="310"/>
      <c r="BB14" s="31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</row>
    <row r="15" spans="1:95" ht="21.9" customHeight="1">
      <c r="L15" s="309"/>
      <c r="M15" s="309"/>
      <c r="N15" s="309"/>
      <c r="O15" s="309"/>
      <c r="P15" s="309"/>
      <c r="Q15" s="309"/>
      <c r="R15" s="309"/>
      <c r="S15" s="296"/>
      <c r="T15" s="376"/>
      <c r="U15" s="376"/>
      <c r="V15" s="1657" t="s">
        <v>449</v>
      </c>
      <c r="W15" s="1657"/>
      <c r="X15" s="1657"/>
      <c r="Y15" s="1657"/>
      <c r="Z15" s="1657"/>
      <c r="AA15" s="1657"/>
      <c r="AB15" s="1657"/>
      <c r="AC15" s="1657"/>
      <c r="AD15" s="1657"/>
      <c r="AE15" s="1657"/>
      <c r="AF15" s="1657"/>
      <c r="AG15" s="1657"/>
      <c r="AH15" s="1657"/>
      <c r="AI15" s="1657"/>
      <c r="AJ15" s="1648" t="str">
        <f>IF($AO$15=0,"",$AO$15)</f>
        <v/>
      </c>
      <c r="AK15" s="1649"/>
      <c r="AL15" s="1649"/>
      <c r="AM15" s="1649"/>
      <c r="AN15" s="1650"/>
      <c r="AO15" s="1651">
        <f>SUM('BBQ-GOURMET BESTELLING'!$L$91:$M$109)</f>
        <v>0</v>
      </c>
      <c r="AP15" s="1652"/>
      <c r="AQ15" s="335"/>
      <c r="AR15" s="335"/>
      <c r="AS15" s="334"/>
      <c r="AT15" s="309"/>
      <c r="AU15" s="309"/>
      <c r="AV15" s="311"/>
      <c r="AW15" s="311"/>
      <c r="AX15" s="311"/>
      <c r="AY15" s="311"/>
      <c r="AZ15" s="311"/>
      <c r="BA15" s="311"/>
      <c r="BB15" s="311"/>
    </row>
    <row r="16" spans="1:95" ht="21.9" customHeight="1">
      <c r="L16" s="309"/>
      <c r="M16" s="309"/>
      <c r="N16" s="309"/>
      <c r="O16" s="309"/>
      <c r="P16" s="309"/>
      <c r="Q16" s="309"/>
      <c r="R16" s="309"/>
      <c r="S16" s="296"/>
      <c r="T16" s="376"/>
      <c r="U16" s="376"/>
      <c r="V16" s="1657" t="s">
        <v>543</v>
      </c>
      <c r="W16" s="1657"/>
      <c r="X16" s="1657"/>
      <c r="Y16" s="1657"/>
      <c r="Z16" s="1657"/>
      <c r="AA16" s="1657"/>
      <c r="AB16" s="1657"/>
      <c r="AC16" s="1657"/>
      <c r="AD16" s="1657"/>
      <c r="AE16" s="1657"/>
      <c r="AF16" s="1657"/>
      <c r="AG16" s="1657"/>
      <c r="AH16" s="1657"/>
      <c r="AI16" s="1661"/>
      <c r="AJ16" s="1662" t="str">
        <f>IF(OR(OVERIG!Y11&gt;0,OVERIG!Y12&gt;0,OVERIG!Y13&gt;0,OVERIG!Y14&gt;0,OVERIG!Y15&gt;0,OVERIG!Y16&gt;0,OVERIG!Y17&gt;0,OVERIG!Y18&gt;0,OVERIG!Y19&gt;0,OVERIG!Y20&gt;0,OVERIG!Y21&gt;0,OVERIG!Y22&gt;0,OVERIG!Y23&gt;0,OVERIG!Y24&gt;0,OVERIG!Y25&gt;0),"Prijs nog te bepalen","")</f>
        <v/>
      </c>
      <c r="AK16" s="1663"/>
      <c r="AL16" s="1663"/>
      <c r="AM16" s="1663"/>
      <c r="AN16" s="1664"/>
      <c r="AO16" s="529"/>
      <c r="AP16" s="529"/>
      <c r="AQ16" s="335"/>
      <c r="AR16" s="335"/>
      <c r="AS16" s="533"/>
      <c r="AT16" s="534"/>
      <c r="AU16" s="349"/>
      <c r="AV16" s="535"/>
      <c r="AW16" s="535"/>
      <c r="AX16" s="535"/>
      <c r="AY16" s="535"/>
      <c r="AZ16" s="535"/>
      <c r="BA16" s="535"/>
      <c r="BB16" s="535"/>
    </row>
    <row r="17" spans="1:101" ht="20.0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298"/>
      <c r="M17" s="298"/>
      <c r="N17" s="298"/>
      <c r="O17" s="298"/>
      <c r="P17" s="298"/>
      <c r="Q17" s="298"/>
      <c r="R17" s="298"/>
      <c r="S17" s="296"/>
      <c r="T17" s="376"/>
      <c r="U17" s="376"/>
      <c r="V17" s="1657" t="s">
        <v>450</v>
      </c>
      <c r="W17" s="1657"/>
      <c r="X17" s="1657"/>
      <c r="Y17" s="1657"/>
      <c r="Z17" s="1657"/>
      <c r="AA17" s="1657"/>
      <c r="AB17" s="1657"/>
      <c r="AC17" s="1657"/>
      <c r="AD17" s="1657"/>
      <c r="AE17" s="1657"/>
      <c r="AF17" s="1657"/>
      <c r="AG17" s="1657"/>
      <c r="AH17" s="1657"/>
      <c r="AI17" s="1657"/>
      <c r="AJ17" s="1658" t="str">
        <f>IF($AO$17=0,$AQ$17,$AO$17)</f>
        <v/>
      </c>
      <c r="AK17" s="1659"/>
      <c r="AL17" s="1659"/>
      <c r="AM17" s="1659"/>
      <c r="AN17" s="1660"/>
      <c r="AO17" s="1652" t="str">
        <f>IF(SUM($AJ$8:$AN$15)&gt;750,0,'STAP 1 - BESTELGEGEVENS'!$AE$9)</f>
        <v/>
      </c>
      <c r="AP17" s="1652"/>
      <c r="AQ17" s="1652" t="str">
        <f>IF(SUM(AJ8:AN15)&gt;750,"Gratis","op aanvraag")</f>
        <v>op aanvraag</v>
      </c>
      <c r="AR17" s="1652"/>
      <c r="AS17" s="533"/>
      <c r="AT17" s="536"/>
      <c r="AU17" s="536"/>
      <c r="AV17" s="536"/>
      <c r="AW17" s="536"/>
      <c r="AX17" s="536"/>
      <c r="AY17" s="536"/>
      <c r="AZ17" s="536"/>
      <c r="BA17" s="536"/>
      <c r="BB17" s="536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</row>
    <row r="18" spans="1:101" ht="20.05" customHeight="1" thickBo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8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331"/>
      <c r="AF18" s="331"/>
      <c r="AG18" s="331"/>
      <c r="AH18" s="331"/>
      <c r="AI18" s="332"/>
      <c r="AJ18" s="1636">
        <f>SUM(AJ8:AN17)</f>
        <v>0</v>
      </c>
      <c r="AK18" s="1637"/>
      <c r="AL18" s="1637"/>
      <c r="AM18" s="1637"/>
      <c r="AN18" s="1638"/>
      <c r="AO18" s="336"/>
      <c r="AP18" s="336"/>
      <c r="AQ18" s="336"/>
      <c r="AR18" s="336"/>
      <c r="AS18" s="532"/>
      <c r="AT18" s="537"/>
      <c r="AU18" s="537"/>
      <c r="AV18" s="538"/>
      <c r="AW18" s="538"/>
      <c r="AX18" s="538"/>
      <c r="AY18" s="538"/>
      <c r="AZ18" s="538"/>
      <c r="BA18" s="538"/>
      <c r="BB18" s="6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</row>
    <row r="19" spans="1:101" ht="20.05" customHeight="1" thickTop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927"/>
      <c r="AA19" s="927"/>
      <c r="AB19" s="927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7"/>
      <c r="AW19" s="7"/>
      <c r="AX19" s="7"/>
      <c r="AY19" s="7"/>
      <c r="AZ19" s="7"/>
      <c r="BA19" s="7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</row>
    <row r="20" spans="1:101" ht="20.0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915"/>
      <c r="M20" s="915"/>
      <c r="N20" s="915"/>
      <c r="O20" s="915"/>
      <c r="P20" s="915"/>
      <c r="Q20" s="915"/>
      <c r="R20" s="915"/>
      <c r="S20" s="915"/>
      <c r="T20" s="915"/>
      <c r="U20" s="915"/>
      <c r="V20" s="915"/>
      <c r="W20" s="915"/>
      <c r="X20" s="915"/>
      <c r="Y20" s="915"/>
      <c r="Z20" s="915"/>
      <c r="AA20" s="915"/>
      <c r="AB20" s="915"/>
      <c r="AC20" s="915"/>
      <c r="AD20" s="915"/>
      <c r="AE20" s="915"/>
      <c r="AF20" s="915"/>
      <c r="AG20" s="915"/>
      <c r="AH20" s="915"/>
      <c r="AI20" s="915"/>
      <c r="AJ20" s="915"/>
      <c r="AK20" s="915"/>
      <c r="AL20" s="915"/>
      <c r="AM20" s="915"/>
      <c r="AN20" s="915"/>
      <c r="AO20" s="915"/>
      <c r="AP20" s="12"/>
      <c r="AQ20" s="12"/>
      <c r="AR20" s="12"/>
      <c r="AS20" s="12"/>
      <c r="AT20" s="12"/>
      <c r="AU20" s="12"/>
      <c r="AV20" s="7"/>
      <c r="AW20" s="7"/>
      <c r="AX20" s="7"/>
      <c r="AY20" s="7"/>
      <c r="AZ20" s="7"/>
      <c r="BA20" s="7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</row>
    <row r="21" spans="1:101" ht="20.05" customHeight="1">
      <c r="A21" s="923"/>
      <c r="B21" s="923"/>
      <c r="C21" s="923"/>
      <c r="D21" s="1"/>
      <c r="E21" s="1"/>
      <c r="F21" s="1"/>
      <c r="G21" s="1"/>
      <c r="H21" s="1"/>
      <c r="I21" s="1"/>
      <c r="J21" s="1"/>
      <c r="K21" s="1"/>
      <c r="L21" s="915"/>
      <c r="M21" s="915"/>
      <c r="N21" s="915"/>
      <c r="O21" s="915"/>
      <c r="P21" s="915"/>
      <c r="Q21" s="915"/>
      <c r="R21" s="915"/>
      <c r="S21" s="915"/>
      <c r="T21" s="915"/>
      <c r="U21" s="915"/>
      <c r="V21" s="915"/>
      <c r="W21" s="915"/>
      <c r="X21" s="915"/>
      <c r="Y21" s="915"/>
      <c r="Z21" s="915"/>
      <c r="AA21" s="915"/>
      <c r="AB21" s="915"/>
      <c r="AC21" s="915"/>
      <c r="AD21" s="915"/>
      <c r="AE21" s="915"/>
      <c r="AF21" s="915"/>
      <c r="AG21" s="915"/>
      <c r="AH21" s="915"/>
      <c r="AI21" s="915"/>
      <c r="AJ21" s="915"/>
      <c r="AK21" s="915"/>
      <c r="AL21" s="915"/>
      <c r="AM21" s="915"/>
      <c r="AN21" s="915"/>
      <c r="AO21" s="12"/>
      <c r="AP21" s="12"/>
      <c r="AQ21" s="12"/>
      <c r="AR21" s="12"/>
      <c r="AS21" s="12"/>
      <c r="AT21" s="12"/>
      <c r="AU21" s="12"/>
      <c r="AV21" s="9"/>
      <c r="AW21" s="9"/>
      <c r="AX21" s="9"/>
      <c r="AY21" s="9"/>
      <c r="AZ21" s="9"/>
      <c r="BA21" s="9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</row>
    <row r="22" spans="1:101" ht="20.05" customHeight="1">
      <c r="A22" s="1"/>
      <c r="B22" s="921"/>
      <c r="C22" s="922"/>
      <c r="D22" s="922"/>
      <c r="E22" s="922"/>
      <c r="F22" s="2"/>
      <c r="G22" s="2"/>
      <c r="H22" s="1"/>
      <c r="I22" s="1"/>
      <c r="J22" s="1"/>
      <c r="K22" s="1"/>
      <c r="L22" s="915"/>
      <c r="M22" s="915"/>
      <c r="N22" s="915"/>
      <c r="O22" s="915"/>
      <c r="P22" s="915"/>
      <c r="Q22" s="915"/>
      <c r="R22" s="915"/>
      <c r="S22" s="915"/>
      <c r="T22" s="915"/>
      <c r="U22" s="915"/>
      <c r="V22" s="915"/>
      <c r="W22" s="915"/>
      <c r="X22" s="915"/>
      <c r="Y22" s="915"/>
      <c r="Z22" s="915"/>
      <c r="AA22" s="915"/>
      <c r="AB22" s="915"/>
      <c r="AC22" s="915"/>
      <c r="AD22" s="915"/>
      <c r="AE22" s="915"/>
      <c r="AF22" s="915"/>
      <c r="AG22" s="915"/>
      <c r="AH22" s="915"/>
      <c r="AI22" s="915"/>
      <c r="AJ22" s="915"/>
      <c r="AK22" s="915"/>
      <c r="AL22" s="915"/>
      <c r="AM22" s="915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</row>
    <row r="23" spans="1:101" ht="20.05" customHeight="1">
      <c r="A23" s="1"/>
      <c r="B23" s="5"/>
      <c r="C23" s="4"/>
      <c r="D23" s="4"/>
      <c r="E23" s="4"/>
      <c r="F23" s="2"/>
      <c r="G23" s="2"/>
      <c r="H23" s="1"/>
      <c r="I23" s="1"/>
      <c r="J23" s="1"/>
      <c r="K23" s="1"/>
      <c r="L23" s="915"/>
      <c r="M23" s="915"/>
      <c r="N23" s="915"/>
      <c r="O23" s="915"/>
      <c r="P23" s="915"/>
      <c r="Q23" s="915"/>
      <c r="R23" s="915"/>
      <c r="S23" s="915"/>
      <c r="T23" s="915"/>
      <c r="U23" s="915"/>
      <c r="V23" s="915"/>
      <c r="W23" s="915"/>
      <c r="X23" s="915"/>
      <c r="Y23" s="915"/>
      <c r="Z23" s="915"/>
      <c r="AA23" s="915"/>
      <c r="AB23" s="915"/>
      <c r="AC23" s="915"/>
      <c r="AD23" s="915"/>
      <c r="AE23" s="915"/>
      <c r="AF23" s="915"/>
      <c r="AG23" s="915"/>
      <c r="AH23" s="915"/>
      <c r="AI23" s="915"/>
      <c r="AJ23" s="915"/>
      <c r="AK23" s="915"/>
      <c r="AL23" s="915"/>
      <c r="AM23" s="915"/>
      <c r="AN23" s="14"/>
      <c r="AO23" s="14"/>
      <c r="AP23" s="14"/>
      <c r="AQ23" s="14"/>
      <c r="AR23" s="14"/>
      <c r="AS23" s="14"/>
      <c r="AT23" s="14"/>
      <c r="AU23" s="14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</row>
    <row r="24" spans="1:101" ht="20.05" customHeight="1">
      <c r="A24" s="1"/>
      <c r="B24" s="5"/>
      <c r="C24" s="4"/>
      <c r="D24" s="4"/>
      <c r="E24" s="4"/>
      <c r="F24" s="2"/>
      <c r="G24" s="2"/>
      <c r="H24" s="1"/>
      <c r="I24" s="1"/>
      <c r="J24" s="1"/>
      <c r="K24" s="1"/>
      <c r="L24" s="915"/>
      <c r="M24" s="915"/>
      <c r="N24" s="915"/>
      <c r="O24" s="915"/>
      <c r="P24" s="915"/>
      <c r="Q24" s="915"/>
      <c r="R24" s="915"/>
      <c r="S24" s="915"/>
      <c r="T24" s="915"/>
      <c r="U24" s="915"/>
      <c r="V24" s="915"/>
      <c r="W24" s="915"/>
      <c r="X24" s="915"/>
      <c r="Y24" s="915"/>
      <c r="Z24" s="915"/>
      <c r="AA24" s="915"/>
      <c r="AB24" s="915"/>
      <c r="AC24" s="915"/>
      <c r="AD24" s="915"/>
      <c r="AE24" s="915"/>
      <c r="AF24" s="915"/>
      <c r="AG24" s="915"/>
      <c r="AH24" s="915"/>
      <c r="AI24" s="915"/>
      <c r="AJ24" s="915"/>
      <c r="AK24" s="915"/>
      <c r="AL24" s="915"/>
      <c r="AM24" s="915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</row>
    <row r="25" spans="1:101" ht="20.05" customHeight="1">
      <c r="A25" s="10"/>
      <c r="B25" s="10"/>
      <c r="C25" s="10"/>
      <c r="D25" s="10"/>
      <c r="E25" s="10"/>
      <c r="F25" s="10"/>
      <c r="G25" s="1"/>
      <c r="H25" s="1"/>
      <c r="I25" s="1"/>
      <c r="J25" s="1"/>
      <c r="K25" s="1"/>
      <c r="L25" s="915"/>
      <c r="M25" s="915"/>
      <c r="N25" s="915"/>
      <c r="O25" s="915"/>
      <c r="P25" s="915"/>
      <c r="Q25" s="915"/>
      <c r="R25" s="915"/>
      <c r="S25" s="915"/>
      <c r="T25" s="915"/>
      <c r="U25" s="915"/>
      <c r="V25" s="915"/>
      <c r="W25" s="915"/>
      <c r="X25" s="915"/>
      <c r="Y25" s="915"/>
      <c r="Z25" s="915"/>
      <c r="AA25" s="915"/>
      <c r="AB25" s="915"/>
      <c r="AC25" s="915"/>
      <c r="AD25" s="915"/>
      <c r="AE25" s="915"/>
      <c r="AF25" s="915"/>
      <c r="AG25" s="915"/>
      <c r="AH25" s="915"/>
      <c r="AI25" s="915"/>
      <c r="AJ25" s="915"/>
      <c r="AK25" s="915"/>
      <c r="AL25" s="915"/>
      <c r="AM25" s="915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</row>
    <row r="26" spans="1:101" ht="20.05" customHeight="1">
      <c r="A26" s="16"/>
      <c r="B26" s="15"/>
      <c r="C26" s="13"/>
      <c r="D26" s="3"/>
      <c r="E26" s="3"/>
      <c r="F26" s="3"/>
      <c r="G26" s="3"/>
      <c r="H26" s="3"/>
      <c r="I26" s="3"/>
      <c r="J26" s="3"/>
      <c r="K26" s="3"/>
      <c r="L26" s="915"/>
      <c r="M26" s="915"/>
      <c r="N26" s="915"/>
      <c r="O26" s="915"/>
      <c r="P26" s="915"/>
      <c r="Q26" s="915"/>
      <c r="R26" s="915"/>
      <c r="S26" s="915"/>
      <c r="T26" s="915"/>
      <c r="U26" s="915"/>
      <c r="V26" s="915"/>
      <c r="W26" s="915"/>
      <c r="X26" s="915"/>
      <c r="Y26" s="915"/>
      <c r="Z26" s="915"/>
      <c r="AA26" s="915"/>
      <c r="AB26" s="915"/>
      <c r="AC26" s="915"/>
      <c r="AD26" s="915"/>
      <c r="AE26" s="915"/>
      <c r="AF26" s="915"/>
      <c r="AG26" s="915"/>
      <c r="AH26" s="915"/>
      <c r="AI26" s="915"/>
      <c r="AJ26" s="915"/>
      <c r="AK26" s="915"/>
      <c r="AL26" s="915"/>
      <c r="AM26" s="915"/>
      <c r="AN26" s="14"/>
      <c r="AO26" s="14"/>
      <c r="AP26" s="14"/>
      <c r="AQ26" s="14"/>
      <c r="AR26" s="14"/>
      <c r="AS26" s="14"/>
      <c r="AT26" s="14"/>
      <c r="AU26" s="14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</row>
    <row r="27" spans="1:101" ht="20.0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915"/>
      <c r="M27" s="915"/>
      <c r="N27" s="915"/>
      <c r="O27" s="915"/>
      <c r="P27" s="915"/>
      <c r="Q27" s="915"/>
      <c r="R27" s="915"/>
      <c r="S27" s="915"/>
      <c r="T27" s="915"/>
      <c r="U27" s="915"/>
      <c r="V27" s="915"/>
      <c r="W27" s="915"/>
      <c r="X27" s="915"/>
      <c r="Y27" s="915"/>
      <c r="Z27" s="915"/>
      <c r="AA27" s="915"/>
      <c r="AB27" s="915"/>
      <c r="AC27" s="915"/>
      <c r="AD27" s="915"/>
      <c r="AE27" s="915"/>
      <c r="AF27" s="915"/>
      <c r="AG27" s="915"/>
      <c r="AH27" s="915"/>
      <c r="AI27" s="915"/>
      <c r="AJ27" s="915"/>
      <c r="AK27" s="915"/>
      <c r="AL27" s="915"/>
      <c r="AM27" s="915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</row>
    <row r="28" spans="1:101" ht="20.0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915"/>
      <c r="M28" s="915"/>
      <c r="N28" s="915"/>
      <c r="O28" s="915"/>
      <c r="P28" s="915"/>
      <c r="Q28" s="915"/>
      <c r="R28" s="915"/>
      <c r="S28" s="915"/>
      <c r="T28" s="915"/>
      <c r="U28" s="915"/>
      <c r="V28" s="915"/>
      <c r="W28" s="915"/>
      <c r="X28" s="915"/>
      <c r="Y28" s="915"/>
      <c r="Z28" s="915"/>
      <c r="AA28" s="915"/>
      <c r="AB28" s="915"/>
      <c r="AC28" s="915"/>
      <c r="AD28" s="915"/>
      <c r="AE28" s="915"/>
      <c r="AF28" s="915"/>
      <c r="AG28" s="915"/>
      <c r="AH28" s="915"/>
      <c r="AI28" s="915"/>
      <c r="AJ28" s="915"/>
      <c r="AK28" s="915"/>
      <c r="AL28" s="915"/>
      <c r="AM28" s="915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</row>
    <row r="29" spans="1:101" ht="20.0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</row>
    <row r="30" spans="1:101" ht="20.0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</row>
    <row r="31" spans="1:10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</row>
    <row r="32" spans="1:10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</row>
    <row r="33" spans="1:10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</row>
    <row r="34" spans="1:10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</row>
    <row r="35" spans="1:10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</row>
    <row r="36" spans="1:10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</row>
    <row r="37" spans="1:10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</row>
    <row r="38" spans="1:10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</row>
    <row r="39" spans="1:10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</row>
    <row r="40" spans="1:10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</row>
    <row r="41" spans="1:10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</row>
    <row r="42" spans="1:10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</row>
    <row r="43" spans="1:10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</row>
    <row r="44" spans="1:10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</row>
    <row r="45" spans="1:10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</row>
    <row r="46" spans="1:10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</row>
    <row r="47" spans="1:10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</row>
    <row r="48" spans="1:10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</row>
    <row r="49" spans="1:10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</row>
    <row r="50" spans="1:10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</row>
    <row r="51" spans="1:10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</row>
    <row r="52" spans="1:10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</row>
    <row r="53" spans="1:10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</row>
    <row r="54" spans="1:10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</row>
    <row r="55" spans="1:10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</row>
    <row r="56" spans="1:10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</row>
    <row r="57" spans="1:10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</row>
    <row r="58" spans="1:10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</row>
    <row r="59" spans="1:10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</row>
    <row r="60" spans="1:10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</row>
    <row r="61" spans="1:10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</row>
    <row r="62" spans="1:10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</row>
    <row r="63" spans="1:10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</row>
    <row r="64" spans="1:10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</row>
    <row r="65" spans="1:10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</row>
    <row r="66" spans="1:10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</row>
    <row r="67" spans="1:10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</row>
    <row r="68" spans="1:10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</row>
    <row r="69" spans="1:10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</row>
    <row r="70" spans="1:10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</row>
    <row r="71" spans="1:10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</row>
    <row r="72" spans="1:10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</row>
    <row r="73" spans="1:10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</row>
    <row r="74" spans="1:10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</row>
    <row r="75" spans="1:10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</row>
    <row r="76" spans="1:10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</row>
    <row r="77" spans="1:10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</row>
    <row r="78" spans="1:10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</row>
    <row r="79" spans="1:10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</row>
    <row r="80" spans="1:10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</row>
    <row r="81" spans="1:10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</row>
    <row r="82" spans="1:10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</row>
    <row r="83" spans="1:10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</row>
    <row r="84" spans="1:10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</row>
    <row r="85" spans="1:10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</row>
    <row r="86" spans="1:10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</row>
    <row r="87" spans="1:10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</row>
    <row r="88" spans="1:10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</row>
    <row r="89" spans="1:10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</row>
    <row r="90" spans="1:10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</row>
    <row r="91" spans="1:10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</row>
    <row r="92" spans="1:10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</row>
    <row r="93" spans="1:10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</row>
    <row r="94" spans="1:10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</row>
    <row r="95" spans="1:10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</row>
    <row r="96" spans="1:10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</row>
    <row r="97" spans="1:10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</row>
    <row r="98" spans="1:10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</row>
    <row r="99" spans="1:10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</row>
    <row r="100" spans="1:10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</row>
    <row r="101" spans="1: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</row>
    <row r="102" spans="1:10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</row>
    <row r="103" spans="1:10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</row>
    <row r="104" spans="1:10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</row>
    <row r="105" spans="1:10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</row>
    <row r="106" spans="1:10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</row>
    <row r="107" spans="1:10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</row>
    <row r="108" spans="1:10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</row>
    <row r="109" spans="1:10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</row>
    <row r="110" spans="1:10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</row>
    <row r="111" spans="1:10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</row>
    <row r="112" spans="1:10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</row>
    <row r="113" spans="1:10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</row>
    <row r="114" spans="1:10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</row>
    <row r="115" spans="1:10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</row>
    <row r="116" spans="1:10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</row>
    <row r="117" spans="1:10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</row>
    <row r="118" spans="1:10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</row>
    <row r="119" spans="1:10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</row>
    <row r="120" spans="1:10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</row>
    <row r="121" spans="1:10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</row>
    <row r="122" spans="1:10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</row>
    <row r="123" spans="1:10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</row>
    <row r="124" spans="1:10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</row>
    <row r="125" spans="1:10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</row>
    <row r="126" spans="1:10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</row>
    <row r="127" spans="1:10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</row>
    <row r="128" spans="1:10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</row>
    <row r="129" spans="1:10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</row>
    <row r="130" spans="1:10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</row>
    <row r="131" spans="1:10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</row>
    <row r="132" spans="1:10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</row>
    <row r="133" spans="1:10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</row>
    <row r="134" spans="1:10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</row>
    <row r="135" spans="1:10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</row>
    <row r="136" spans="1:10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</row>
    <row r="137" spans="1:10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</row>
    <row r="138" spans="1:10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</row>
    <row r="139" spans="1:10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</row>
    <row r="140" spans="1:10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</row>
    <row r="141" spans="1:10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</row>
    <row r="142" spans="1:10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</row>
    <row r="143" spans="1:10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</row>
    <row r="144" spans="1:10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</row>
    <row r="145" spans="1:10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</row>
    <row r="146" spans="1:10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</row>
    <row r="147" spans="1:10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</row>
    <row r="148" spans="1:10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</row>
    <row r="149" spans="1:10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</row>
    <row r="150" spans="1:10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</row>
    <row r="151" spans="1:10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</row>
    <row r="152" spans="1:10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</row>
    <row r="153" spans="1:10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</row>
    <row r="154" spans="1:10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</row>
    <row r="155" spans="1:10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</row>
    <row r="156" spans="1:10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</row>
    <row r="157" spans="1:10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</row>
    <row r="158" spans="1:10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</row>
    <row r="159" spans="1:10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</row>
    <row r="160" spans="1:10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</row>
    <row r="161" spans="1:10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</row>
    <row r="162" spans="1:10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</row>
    <row r="163" spans="1:10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</row>
    <row r="164" spans="1:10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</row>
    <row r="165" spans="1:10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</row>
    <row r="166" spans="1:10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</row>
    <row r="167" spans="1:10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</row>
    <row r="168" spans="1:10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</row>
    <row r="169" spans="1:10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</row>
    <row r="170" spans="1:10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</row>
    <row r="171" spans="1:10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</row>
    <row r="172" spans="1:10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</row>
    <row r="173" spans="1:10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</row>
    <row r="174" spans="1:10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</row>
    <row r="175" spans="1:10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</row>
    <row r="176" spans="1:10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</row>
    <row r="177" spans="1:10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</row>
    <row r="178" spans="1:10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</row>
    <row r="179" spans="1:10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</row>
    <row r="180" spans="1:10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</row>
    <row r="181" spans="1:10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</row>
    <row r="182" spans="1:10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</row>
    <row r="183" spans="1:10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</row>
    <row r="184" spans="1:10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</row>
    <row r="185" spans="1:10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</row>
    <row r="186" spans="1:10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</row>
    <row r="187" spans="1:10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</row>
    <row r="188" spans="1:10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</row>
    <row r="189" spans="1:10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</row>
    <row r="190" spans="1:10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</row>
    <row r="191" spans="1:10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</row>
    <row r="192" spans="1:10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</row>
    <row r="193" spans="1:10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</row>
    <row r="194" spans="1:10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</row>
    <row r="195" spans="1:10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</row>
    <row r="196" spans="1:10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</row>
    <row r="197" spans="1:10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</row>
    <row r="198" spans="1:10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</row>
    <row r="199" spans="1:10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</row>
    <row r="200" spans="1:10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</row>
    <row r="201" spans="1:101"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</row>
    <row r="202" spans="1:101"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</row>
    <row r="203" spans="1:101"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</row>
    <row r="204" spans="1:101"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</row>
    <row r="205" spans="1:101"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</row>
    <row r="206" spans="1:101"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</row>
    <row r="207" spans="1:101"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</row>
    <row r="208" spans="1:101"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</row>
    <row r="209" spans="72:101"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</row>
  </sheetData>
  <sheetProtection algorithmName="SHA-512" hashValue="1yB2bBS7P8upZ4CRX9TCCfNSZl2e5GLO2MSfmJrmD3/uvm1VD2V5IN6fUUm5m8s/93jIO6jn0pHRAWZX6E8gKQ==" saltValue="tKjdOA+eV1k57qLnpu/YTw==" spinCount="100000" sheet="1" objects="1" scenarios="1"/>
  <mergeCells count="50">
    <mergeCell ref="V12:AI12"/>
    <mergeCell ref="V14:AI14"/>
    <mergeCell ref="V15:AI15"/>
    <mergeCell ref="V17:AI17"/>
    <mergeCell ref="AJ12:AN12"/>
    <mergeCell ref="AJ14:AN14"/>
    <mergeCell ref="AJ15:AN15"/>
    <mergeCell ref="AJ17:AN17"/>
    <mergeCell ref="V16:AI16"/>
    <mergeCell ref="AJ16:AN16"/>
    <mergeCell ref="V13:AI13"/>
    <mergeCell ref="AJ13:AN13"/>
    <mergeCell ref="AQ17:AR17"/>
    <mergeCell ref="AO12:AP12"/>
    <mergeCell ref="AO14:AP14"/>
    <mergeCell ref="AO15:AP15"/>
    <mergeCell ref="AO17:AP17"/>
    <mergeCell ref="AO13:AP13"/>
    <mergeCell ref="AO11:AP11"/>
    <mergeCell ref="AX6:BB6"/>
    <mergeCell ref="O8:U8"/>
    <mergeCell ref="AI7:AO7"/>
    <mergeCell ref="V8:AI8"/>
    <mergeCell ref="V10:AI10"/>
    <mergeCell ref="V11:AI11"/>
    <mergeCell ref="V9:AI9"/>
    <mergeCell ref="AO9:AP9"/>
    <mergeCell ref="AJ9:AN9"/>
    <mergeCell ref="L25:AM25"/>
    <mergeCell ref="L26:AM26"/>
    <mergeCell ref="L27:AM27"/>
    <mergeCell ref="L28:AM28"/>
    <mergeCell ref="L23:AM23"/>
    <mergeCell ref="L24:AM24"/>
    <mergeCell ref="AC1:BB3"/>
    <mergeCell ref="A21:C21"/>
    <mergeCell ref="L21:AN21"/>
    <mergeCell ref="B22:E22"/>
    <mergeCell ref="L22:AM22"/>
    <mergeCell ref="L19:AB19"/>
    <mergeCell ref="L20:AO20"/>
    <mergeCell ref="G4:BB4"/>
    <mergeCell ref="AX7:BB7"/>
    <mergeCell ref="AJ18:AN18"/>
    <mergeCell ref="G5:BB5"/>
    <mergeCell ref="AJ8:AN8"/>
    <mergeCell ref="AJ10:AN10"/>
    <mergeCell ref="AJ11:AN11"/>
    <mergeCell ref="AO8:AP8"/>
    <mergeCell ref="AO10:AP10"/>
  </mergeCells>
  <pageMargins left="0.11811023622047245" right="0.15748031496062992" top="0.11811023622047245" bottom="0.19685039370078741" header="0.11811023622047245" footer="0.19685039370078741"/>
  <pageSetup paperSize="9" scale="8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2"/>
  <dimension ref="A1:U216"/>
  <sheetViews>
    <sheetView showGridLines="0" workbookViewId="0">
      <selection activeCell="I44" sqref="I44"/>
    </sheetView>
  </sheetViews>
  <sheetFormatPr defaultRowHeight="14.85"/>
  <cols>
    <col min="1" max="1" width="6.7109375" customWidth="1"/>
    <col min="2" max="2" width="58.85546875" customWidth="1"/>
    <col min="3" max="3" width="14" customWidth="1"/>
    <col min="4" max="4" width="4.140625" customWidth="1"/>
    <col min="5" max="5" width="56.85546875" customWidth="1"/>
    <col min="7" max="7" width="4.28515625" customWidth="1"/>
    <col min="8" max="8" width="53.5703125" customWidth="1"/>
    <col min="11" max="11" width="3.42578125" customWidth="1"/>
  </cols>
  <sheetData>
    <row r="1" spans="1:21" ht="37.85" thickBot="1">
      <c r="A1" s="557"/>
      <c r="B1" s="527"/>
      <c r="C1" s="1665" t="s">
        <v>636</v>
      </c>
      <c r="D1" s="1666"/>
      <c r="E1" s="1666"/>
      <c r="F1" s="1666"/>
      <c r="G1" s="1667"/>
      <c r="H1" s="510">
        <v>46070</v>
      </c>
      <c r="I1" s="502"/>
      <c r="J1" s="503"/>
      <c r="K1" s="503"/>
      <c r="L1" s="503"/>
      <c r="M1" s="503"/>
      <c r="N1" s="503"/>
      <c r="O1" s="503"/>
    </row>
    <row r="3" spans="1:21" ht="15.6" thickBot="1"/>
    <row r="4" spans="1:21" ht="23.75" thickBot="1">
      <c r="B4" s="504" t="s">
        <v>544</v>
      </c>
      <c r="C4" s="505"/>
      <c r="E4" s="424" t="s">
        <v>585</v>
      </c>
      <c r="F4" s="425"/>
      <c r="H4" s="440" t="s">
        <v>593</v>
      </c>
      <c r="I4" s="450"/>
      <c r="J4" s="441"/>
      <c r="L4" s="462" t="s">
        <v>603</v>
      </c>
      <c r="M4" s="463"/>
      <c r="N4" s="463"/>
      <c r="O4" s="464"/>
      <c r="Q4" s="583" t="s">
        <v>728</v>
      </c>
      <c r="R4" s="584"/>
      <c r="S4" s="584"/>
      <c r="T4" s="584"/>
      <c r="U4" s="585"/>
    </row>
    <row r="5" spans="1:21" ht="20.05" customHeight="1" thickBot="1">
      <c r="B5" s="526" t="s">
        <v>546</v>
      </c>
      <c r="C5" s="507">
        <v>12.95</v>
      </c>
      <c r="E5" s="426" t="s">
        <v>588</v>
      </c>
      <c r="F5" s="427">
        <v>74.95</v>
      </c>
      <c r="H5" s="442" t="s">
        <v>595</v>
      </c>
      <c r="I5" s="451">
        <v>16.8</v>
      </c>
      <c r="J5" s="452"/>
      <c r="K5" s="417"/>
      <c r="L5" s="465" t="s">
        <v>604</v>
      </c>
      <c r="M5" s="466"/>
      <c r="N5" s="466"/>
      <c r="O5" s="467">
        <v>9.5</v>
      </c>
      <c r="Q5" s="586"/>
      <c r="R5" s="587"/>
      <c r="S5" s="587"/>
      <c r="T5" s="587"/>
      <c r="U5" s="588"/>
    </row>
    <row r="6" spans="1:21" ht="20.05" customHeight="1">
      <c r="B6" s="506" t="s">
        <v>545</v>
      </c>
      <c r="C6" s="507">
        <v>15.95</v>
      </c>
      <c r="E6" s="426" t="s">
        <v>589</v>
      </c>
      <c r="F6" s="427">
        <v>49.95</v>
      </c>
      <c r="H6" s="442" t="s">
        <v>594</v>
      </c>
      <c r="I6" s="451">
        <v>17.55</v>
      </c>
      <c r="J6" s="452"/>
      <c r="K6" s="417"/>
      <c r="L6" s="465" t="s">
        <v>605</v>
      </c>
      <c r="M6" s="466"/>
      <c r="N6" s="466"/>
      <c r="O6" s="467">
        <v>11.5</v>
      </c>
      <c r="Q6" s="589" t="s">
        <v>756</v>
      </c>
      <c r="R6" s="587"/>
      <c r="S6" s="587"/>
      <c r="T6" s="582">
        <v>5.95</v>
      </c>
      <c r="U6" s="588"/>
    </row>
    <row r="7" spans="1:21" ht="20.05" customHeight="1">
      <c r="B7" s="506" t="s">
        <v>547</v>
      </c>
      <c r="C7" s="507">
        <v>9.9499999999999993</v>
      </c>
      <c r="E7" s="426" t="s">
        <v>586</v>
      </c>
      <c r="F7" s="427">
        <v>27.95</v>
      </c>
      <c r="H7" s="442" t="s">
        <v>596</v>
      </c>
      <c r="I7" s="451">
        <v>19.05</v>
      </c>
      <c r="J7" s="452"/>
      <c r="K7" s="417"/>
      <c r="L7" s="465" t="s">
        <v>606</v>
      </c>
      <c r="M7" s="466"/>
      <c r="N7" s="466"/>
      <c r="O7" s="467">
        <v>15.5</v>
      </c>
      <c r="Q7" s="755" t="s">
        <v>873</v>
      </c>
      <c r="R7" s="587"/>
      <c r="S7" s="587"/>
      <c r="T7" s="582">
        <v>3.95</v>
      </c>
      <c r="U7" s="588"/>
    </row>
    <row r="8" spans="1:21" ht="20.05" customHeight="1" thickBot="1">
      <c r="B8" s="506" t="s">
        <v>548</v>
      </c>
      <c r="C8" s="507">
        <v>11.95</v>
      </c>
      <c r="E8" s="428" t="s">
        <v>587</v>
      </c>
      <c r="F8" s="429">
        <v>2.5</v>
      </c>
      <c r="H8" s="442" t="s">
        <v>597</v>
      </c>
      <c r="I8" s="451">
        <v>20.25</v>
      </c>
      <c r="J8" s="452"/>
      <c r="K8" s="417"/>
      <c r="L8" s="465" t="s">
        <v>607</v>
      </c>
      <c r="M8" s="466"/>
      <c r="N8" s="466"/>
      <c r="O8" s="467">
        <v>13.5</v>
      </c>
      <c r="Q8" s="589"/>
      <c r="R8" s="587"/>
      <c r="S8" s="587"/>
      <c r="T8" s="582"/>
      <c r="U8" s="588"/>
    </row>
    <row r="9" spans="1:21" ht="20.05" customHeight="1" thickBot="1">
      <c r="B9" s="560" t="s">
        <v>670</v>
      </c>
      <c r="C9" s="507">
        <v>5.25</v>
      </c>
      <c r="E9" s="408"/>
      <c r="H9" s="444" t="s">
        <v>598</v>
      </c>
      <c r="I9" s="451">
        <v>1</v>
      </c>
      <c r="J9" s="452"/>
      <c r="K9" s="411"/>
      <c r="L9" s="465" t="s">
        <v>608</v>
      </c>
      <c r="M9" s="466"/>
      <c r="N9" s="466"/>
      <c r="O9" s="467">
        <v>17.5</v>
      </c>
      <c r="Q9" s="755" t="s">
        <v>874</v>
      </c>
      <c r="R9" s="587"/>
      <c r="S9" s="587"/>
      <c r="T9" s="582">
        <v>4.95</v>
      </c>
      <c r="U9" s="588"/>
    </row>
    <row r="10" spans="1:21" ht="20.05" customHeight="1" thickBot="1">
      <c r="B10" s="560" t="s">
        <v>669</v>
      </c>
      <c r="C10" s="507">
        <v>5.25</v>
      </c>
      <c r="E10" s="430" t="s">
        <v>592</v>
      </c>
      <c r="F10" s="431"/>
      <c r="H10" s="445" t="s">
        <v>599</v>
      </c>
      <c r="I10" s="451">
        <v>5.2</v>
      </c>
      <c r="J10" s="453"/>
      <c r="L10" s="465" t="s">
        <v>609</v>
      </c>
      <c r="M10" s="466"/>
      <c r="N10" s="466"/>
      <c r="O10" s="467">
        <v>19.95</v>
      </c>
      <c r="Q10" s="793" t="s">
        <v>757</v>
      </c>
      <c r="R10" s="592"/>
      <c r="S10" s="592"/>
      <c r="T10" s="794">
        <v>3.45</v>
      </c>
      <c r="U10" s="593"/>
    </row>
    <row r="11" spans="1:21" ht="20.05" customHeight="1">
      <c r="B11" s="560"/>
      <c r="C11" s="507"/>
      <c r="E11" s="561"/>
      <c r="F11" s="435"/>
      <c r="H11" s="594" t="s">
        <v>761</v>
      </c>
      <c r="I11" s="451"/>
      <c r="J11" s="453"/>
      <c r="L11" s="465"/>
      <c r="M11" s="466"/>
      <c r="N11" s="466"/>
      <c r="O11" s="467"/>
      <c r="Q11" s="586"/>
      <c r="R11" s="587"/>
      <c r="S11" s="587"/>
      <c r="T11" s="587"/>
      <c r="U11" s="588"/>
    </row>
    <row r="12" spans="1:21" ht="20.05" customHeight="1">
      <c r="B12" s="506" t="s">
        <v>355</v>
      </c>
      <c r="C12" s="507">
        <v>14.5</v>
      </c>
      <c r="E12" s="432" t="s">
        <v>131</v>
      </c>
      <c r="F12" s="433">
        <v>7.45</v>
      </c>
      <c r="G12" s="411"/>
      <c r="H12" s="442" t="s">
        <v>277</v>
      </c>
      <c r="I12" s="454">
        <v>4.0999999999999996</v>
      </c>
      <c r="J12" s="452"/>
      <c r="L12" s="468"/>
      <c r="M12" s="466"/>
      <c r="N12" s="466"/>
      <c r="O12" s="469"/>
      <c r="Q12" s="589" t="s">
        <v>727</v>
      </c>
      <c r="R12" s="587"/>
      <c r="S12" s="587"/>
      <c r="T12" s="582">
        <v>1.5</v>
      </c>
      <c r="U12" s="588"/>
    </row>
    <row r="13" spans="1:21" ht="20.05" customHeight="1">
      <c r="B13" s="506" t="s">
        <v>228</v>
      </c>
      <c r="C13" s="507">
        <v>15.5</v>
      </c>
      <c r="E13" s="432" t="s">
        <v>132</v>
      </c>
      <c r="F13" s="433">
        <v>7.45</v>
      </c>
      <c r="G13" s="411"/>
      <c r="H13" s="442" t="s">
        <v>278</v>
      </c>
      <c r="I13" s="454">
        <v>4.0999999999999996</v>
      </c>
      <c r="J13" s="452"/>
      <c r="K13" s="418"/>
      <c r="L13" s="470" t="s">
        <v>323</v>
      </c>
      <c r="M13" s="471"/>
      <c r="N13" s="472"/>
      <c r="O13" s="473">
        <v>1.95</v>
      </c>
      <c r="P13" s="409"/>
      <c r="Q13" s="792" t="s">
        <v>902</v>
      </c>
      <c r="R13" s="587"/>
      <c r="S13" s="587"/>
      <c r="T13" s="582">
        <v>1.5</v>
      </c>
      <c r="U13" s="588"/>
    </row>
    <row r="14" spans="1:21" ht="20.05" customHeight="1" thickBot="1">
      <c r="B14" s="506" t="s">
        <v>357</v>
      </c>
      <c r="C14" s="507">
        <v>14.5</v>
      </c>
      <c r="E14" s="432" t="s">
        <v>133</v>
      </c>
      <c r="F14" s="433">
        <v>7.45</v>
      </c>
      <c r="G14" s="411"/>
      <c r="H14" s="594"/>
      <c r="I14" s="454"/>
      <c r="J14" s="452"/>
      <c r="K14" s="418"/>
      <c r="L14" s="470" t="s">
        <v>321</v>
      </c>
      <c r="M14" s="471"/>
      <c r="N14" s="474"/>
      <c r="O14" s="473">
        <v>1.6</v>
      </c>
      <c r="P14" s="409"/>
      <c r="Q14" s="795" t="s">
        <v>901</v>
      </c>
      <c r="R14" s="592"/>
      <c r="S14" s="592"/>
      <c r="T14" s="796">
        <v>1.5</v>
      </c>
      <c r="U14" s="593"/>
    </row>
    <row r="15" spans="1:21" ht="20.05" customHeight="1">
      <c r="B15" s="506" t="s">
        <v>358</v>
      </c>
      <c r="C15" s="507">
        <v>14.5</v>
      </c>
      <c r="E15" s="432" t="s">
        <v>134</v>
      </c>
      <c r="F15" s="433">
        <v>7.45</v>
      </c>
      <c r="G15" s="411"/>
      <c r="H15" s="442"/>
      <c r="I15" s="454"/>
      <c r="J15" s="452"/>
      <c r="K15" s="418"/>
      <c r="L15" s="470" t="s">
        <v>726</v>
      </c>
      <c r="M15" s="471"/>
      <c r="N15" s="474"/>
      <c r="O15" s="473">
        <v>3.45</v>
      </c>
      <c r="P15" s="409"/>
      <c r="Q15" s="589" t="s">
        <v>729</v>
      </c>
      <c r="R15" s="587"/>
      <c r="S15" s="587"/>
      <c r="T15" s="582">
        <v>1.78</v>
      </c>
      <c r="U15" s="588"/>
    </row>
    <row r="16" spans="1:21" ht="20.05" customHeight="1">
      <c r="B16" s="571" t="s">
        <v>675</v>
      </c>
      <c r="C16" s="507">
        <v>14.5</v>
      </c>
      <c r="E16" s="432" t="s">
        <v>135</v>
      </c>
      <c r="F16" s="433">
        <v>7.45</v>
      </c>
      <c r="G16" s="411"/>
      <c r="H16" s="442"/>
      <c r="I16" s="454"/>
      <c r="J16" s="452"/>
      <c r="K16" s="418"/>
      <c r="L16" s="470" t="s">
        <v>330</v>
      </c>
      <c r="M16" s="471"/>
      <c r="N16" s="474"/>
      <c r="O16" s="473">
        <v>2.4</v>
      </c>
      <c r="P16" s="409"/>
      <c r="Q16" s="589" t="s">
        <v>730</v>
      </c>
      <c r="R16" s="587"/>
      <c r="S16" s="587"/>
      <c r="T16" s="582">
        <v>1.78</v>
      </c>
      <c r="U16" s="588"/>
    </row>
    <row r="17" spans="2:21" ht="20.05" customHeight="1">
      <c r="B17" s="571" t="s">
        <v>676</v>
      </c>
      <c r="C17" s="507">
        <v>18.5</v>
      </c>
      <c r="E17" s="432" t="s">
        <v>476</v>
      </c>
      <c r="F17" s="433">
        <v>7.45</v>
      </c>
      <c r="G17" s="411"/>
      <c r="H17" s="442"/>
      <c r="I17" s="454"/>
      <c r="J17" s="452"/>
      <c r="K17" s="418"/>
      <c r="L17" s="470" t="s">
        <v>334</v>
      </c>
      <c r="M17" s="471"/>
      <c r="N17" s="474"/>
      <c r="O17" s="473">
        <v>2.4</v>
      </c>
      <c r="P17" s="409"/>
      <c r="Q17" s="589" t="s">
        <v>731</v>
      </c>
      <c r="R17" s="587"/>
      <c r="S17" s="587"/>
      <c r="T17" s="582">
        <v>1.78</v>
      </c>
      <c r="U17" s="588"/>
    </row>
    <row r="18" spans="2:21" ht="20.05" customHeight="1">
      <c r="B18" s="506" t="s">
        <v>551</v>
      </c>
      <c r="C18" s="507">
        <v>14.5</v>
      </c>
      <c r="E18" s="432" t="s">
        <v>136</v>
      </c>
      <c r="F18" s="433">
        <v>7.45</v>
      </c>
      <c r="G18" s="411"/>
      <c r="H18" s="442"/>
      <c r="I18" s="454"/>
      <c r="J18" s="452"/>
      <c r="K18" s="418"/>
      <c r="L18" s="470" t="s">
        <v>342</v>
      </c>
      <c r="M18" s="471"/>
      <c r="N18" s="474"/>
      <c r="O18" s="473">
        <v>1.9</v>
      </c>
      <c r="P18" s="409"/>
      <c r="Q18" s="589" t="s">
        <v>732</v>
      </c>
      <c r="R18" s="587"/>
      <c r="S18" s="587"/>
      <c r="T18" s="582">
        <v>1.78</v>
      </c>
      <c r="U18" s="588"/>
    </row>
    <row r="19" spans="2:21" ht="20.05" customHeight="1">
      <c r="B19" s="506" t="s">
        <v>552</v>
      </c>
      <c r="C19" s="507">
        <v>14.5</v>
      </c>
      <c r="E19" s="432" t="s">
        <v>137</v>
      </c>
      <c r="F19" s="433">
        <v>7.45</v>
      </c>
      <c r="G19" s="411"/>
      <c r="H19" s="442"/>
      <c r="I19" s="454"/>
      <c r="J19" s="452"/>
      <c r="K19" s="418"/>
      <c r="L19" s="470" t="s">
        <v>336</v>
      </c>
      <c r="M19" s="471"/>
      <c r="N19" s="474"/>
      <c r="O19" s="473">
        <v>2.5</v>
      </c>
      <c r="P19" s="409"/>
      <c r="Q19" s="589" t="s">
        <v>733</v>
      </c>
      <c r="R19" s="587"/>
      <c r="S19" s="587"/>
      <c r="T19" s="582">
        <v>1.78</v>
      </c>
      <c r="U19" s="588"/>
    </row>
    <row r="20" spans="2:21" ht="20.05" customHeight="1">
      <c r="B20" s="506" t="s">
        <v>553</v>
      </c>
      <c r="C20" s="507">
        <v>14.5</v>
      </c>
      <c r="E20" s="432" t="s">
        <v>138</v>
      </c>
      <c r="F20" s="433">
        <v>7.45</v>
      </c>
      <c r="G20" s="411"/>
      <c r="H20" s="442"/>
      <c r="I20" s="454"/>
      <c r="J20" s="452"/>
      <c r="K20" s="418"/>
      <c r="L20" s="470" t="s">
        <v>348</v>
      </c>
      <c r="M20" s="471"/>
      <c r="N20" s="475"/>
      <c r="O20" s="473">
        <v>2.6</v>
      </c>
      <c r="P20" s="409"/>
      <c r="Q20" s="589" t="s">
        <v>734</v>
      </c>
      <c r="R20" s="587"/>
      <c r="S20" s="587"/>
      <c r="T20" s="582">
        <v>1.78</v>
      </c>
      <c r="U20" s="588"/>
    </row>
    <row r="21" spans="2:21" ht="20.05" customHeight="1">
      <c r="B21" s="506" t="s">
        <v>580</v>
      </c>
      <c r="C21" s="507">
        <v>15.5</v>
      </c>
      <c r="E21" s="432" t="s">
        <v>139</v>
      </c>
      <c r="F21" s="433">
        <v>7.45</v>
      </c>
      <c r="G21" s="411"/>
      <c r="H21" s="594" t="s">
        <v>760</v>
      </c>
      <c r="I21" s="455" t="s">
        <v>616</v>
      </c>
      <c r="J21" s="452"/>
      <c r="K21" s="418"/>
      <c r="L21" s="470" t="s">
        <v>341</v>
      </c>
      <c r="M21" s="471"/>
      <c r="N21" s="475"/>
      <c r="O21" s="473">
        <v>2.35</v>
      </c>
      <c r="P21" s="409"/>
      <c r="Q21" s="589" t="s">
        <v>735</v>
      </c>
      <c r="R21" s="587"/>
      <c r="S21" s="587"/>
      <c r="T21" s="582">
        <v>1.78</v>
      </c>
      <c r="U21" s="588"/>
    </row>
    <row r="22" spans="2:21" ht="20.05" customHeight="1">
      <c r="B22" s="506" t="s">
        <v>554</v>
      </c>
      <c r="C22" s="507">
        <v>11.9</v>
      </c>
      <c r="E22" s="432" t="s">
        <v>140</v>
      </c>
      <c r="F22" s="433">
        <v>8.4499999999999993</v>
      </c>
      <c r="G22" s="411"/>
      <c r="H22" s="446" t="s">
        <v>260</v>
      </c>
      <c r="I22" s="454">
        <v>1.6</v>
      </c>
      <c r="J22" s="443">
        <f>$I$39</f>
        <v>0.15</v>
      </c>
      <c r="K22" s="418"/>
      <c r="L22" s="470" t="s">
        <v>338</v>
      </c>
      <c r="M22" s="471"/>
      <c r="N22" s="474"/>
      <c r="O22" s="473">
        <v>1.5</v>
      </c>
      <c r="P22" s="409"/>
      <c r="Q22" s="589" t="s">
        <v>736</v>
      </c>
      <c r="R22" s="587"/>
      <c r="S22" s="587"/>
      <c r="T22" s="582">
        <v>1.78</v>
      </c>
      <c r="U22" s="588"/>
    </row>
    <row r="23" spans="2:21" ht="20.05" customHeight="1">
      <c r="B23" s="506" t="s">
        <v>378</v>
      </c>
      <c r="C23" s="507">
        <v>11.9</v>
      </c>
      <c r="E23" s="432" t="s">
        <v>141</v>
      </c>
      <c r="F23" s="433">
        <v>8.4499999999999993</v>
      </c>
      <c r="G23" s="411"/>
      <c r="H23" s="446" t="s">
        <v>261</v>
      </c>
      <c r="I23" s="454">
        <v>1.6</v>
      </c>
      <c r="J23" s="443">
        <f t="shared" ref="J23:J34" si="0">$I$39</f>
        <v>0.15</v>
      </c>
      <c r="K23" s="418"/>
      <c r="L23" s="470" t="s">
        <v>345</v>
      </c>
      <c r="M23" s="471"/>
      <c r="N23" s="474"/>
      <c r="O23" s="473">
        <v>2.15</v>
      </c>
      <c r="P23" s="409"/>
      <c r="Q23" s="589" t="s">
        <v>737</v>
      </c>
      <c r="R23" s="587"/>
      <c r="S23" s="587"/>
      <c r="T23" s="582">
        <v>1.78</v>
      </c>
      <c r="U23" s="588"/>
    </row>
    <row r="24" spans="2:21" ht="20.05" customHeight="1">
      <c r="B24" s="506" t="s">
        <v>380</v>
      </c>
      <c r="C24" s="507">
        <v>11.9</v>
      </c>
      <c r="E24" s="432" t="s">
        <v>142</v>
      </c>
      <c r="F24" s="433">
        <v>8.4499999999999993</v>
      </c>
      <c r="G24" s="411"/>
      <c r="H24" s="446" t="s">
        <v>262</v>
      </c>
      <c r="I24" s="454">
        <v>2.0499999999999998</v>
      </c>
      <c r="J24" s="443">
        <f t="shared" si="0"/>
        <v>0.15</v>
      </c>
      <c r="K24" s="418"/>
      <c r="L24" s="470" t="s">
        <v>340</v>
      </c>
      <c r="M24" s="471"/>
      <c r="N24" s="474"/>
      <c r="O24" s="473">
        <v>2.15</v>
      </c>
      <c r="P24" s="409"/>
      <c r="Q24" s="589" t="s">
        <v>738</v>
      </c>
      <c r="R24" s="587"/>
      <c r="S24" s="587"/>
      <c r="T24" s="582">
        <v>1.78</v>
      </c>
      <c r="U24" s="588"/>
    </row>
    <row r="25" spans="2:21" ht="20.05" customHeight="1">
      <c r="B25" s="506" t="s">
        <v>555</v>
      </c>
      <c r="C25" s="507">
        <v>1.1000000000000001</v>
      </c>
      <c r="E25" s="432" t="s">
        <v>143</v>
      </c>
      <c r="F25" s="433">
        <v>8.4499999999999993</v>
      </c>
      <c r="G25" s="411"/>
      <c r="H25" s="446" t="s">
        <v>263</v>
      </c>
      <c r="I25" s="454">
        <v>2.0499999999999998</v>
      </c>
      <c r="J25" s="443">
        <f t="shared" si="0"/>
        <v>0.15</v>
      </c>
      <c r="K25" s="418"/>
      <c r="L25" s="470" t="s">
        <v>344</v>
      </c>
      <c r="M25" s="471"/>
      <c r="N25" s="474"/>
      <c r="O25" s="473">
        <v>2.15</v>
      </c>
      <c r="P25" s="409"/>
      <c r="Q25" s="589" t="s">
        <v>739</v>
      </c>
      <c r="R25" s="587"/>
      <c r="S25" s="587"/>
      <c r="T25" s="582">
        <v>1.78</v>
      </c>
      <c r="U25" s="588"/>
    </row>
    <row r="26" spans="2:21" ht="20.05" customHeight="1">
      <c r="B26" s="506" t="s">
        <v>556</v>
      </c>
      <c r="C26" s="507">
        <v>1.4</v>
      </c>
      <c r="E26" s="432" t="s">
        <v>144</v>
      </c>
      <c r="F26" s="433">
        <v>10.45</v>
      </c>
      <c r="G26" s="411"/>
      <c r="H26" s="446" t="s">
        <v>264</v>
      </c>
      <c r="I26" s="454">
        <v>2.2999999999999998</v>
      </c>
      <c r="J26" s="443">
        <f t="shared" si="0"/>
        <v>0.15</v>
      </c>
      <c r="K26" s="418"/>
      <c r="L26" s="470" t="s">
        <v>347</v>
      </c>
      <c r="M26" s="471"/>
      <c r="N26" s="474"/>
      <c r="O26" s="473">
        <v>2.15</v>
      </c>
      <c r="P26" s="409"/>
      <c r="Q26" s="589" t="s">
        <v>740</v>
      </c>
      <c r="R26" s="587"/>
      <c r="S26" s="587"/>
      <c r="T26" s="582">
        <v>1.78</v>
      </c>
      <c r="U26" s="588"/>
    </row>
    <row r="27" spans="2:21" ht="20.05" customHeight="1">
      <c r="B27" s="506" t="s">
        <v>557</v>
      </c>
      <c r="C27" s="507">
        <v>0.55000000000000004</v>
      </c>
      <c r="E27" s="432" t="s">
        <v>145</v>
      </c>
      <c r="F27" s="433">
        <v>9.9499999999999993</v>
      </c>
      <c r="G27" s="411"/>
      <c r="H27" s="442" t="s">
        <v>269</v>
      </c>
      <c r="I27" s="454">
        <v>2.2999999999999998</v>
      </c>
      <c r="J27" s="443">
        <f t="shared" si="0"/>
        <v>0.15</v>
      </c>
      <c r="K27" s="418"/>
      <c r="L27" s="470" t="s">
        <v>351</v>
      </c>
      <c r="M27" s="471"/>
      <c r="N27" s="474"/>
      <c r="O27" s="473">
        <v>2.6</v>
      </c>
      <c r="P27" s="409"/>
      <c r="Q27" s="589" t="s">
        <v>741</v>
      </c>
      <c r="R27" s="587"/>
      <c r="S27" s="587"/>
      <c r="T27" s="582">
        <v>1.78</v>
      </c>
      <c r="U27" s="588"/>
    </row>
    <row r="28" spans="2:21" ht="20.05" customHeight="1">
      <c r="B28" s="506" t="s">
        <v>558</v>
      </c>
      <c r="C28" s="507">
        <v>0.6</v>
      </c>
      <c r="E28" s="432" t="s">
        <v>146</v>
      </c>
      <c r="F28" s="433">
        <v>14.95</v>
      </c>
      <c r="G28" s="411"/>
      <c r="H28" s="446" t="s">
        <v>276</v>
      </c>
      <c r="I28" s="454">
        <v>2.0499999999999998</v>
      </c>
      <c r="J28" s="443">
        <f t="shared" si="0"/>
        <v>0.15</v>
      </c>
      <c r="K28" s="418"/>
      <c r="L28" s="470" t="s">
        <v>360</v>
      </c>
      <c r="M28" s="471"/>
      <c r="N28" s="476"/>
      <c r="O28" s="473">
        <v>3.95</v>
      </c>
      <c r="P28" s="409"/>
      <c r="Q28" s="589" t="s">
        <v>742</v>
      </c>
      <c r="R28" s="587"/>
      <c r="S28" s="587"/>
      <c r="T28" s="582">
        <v>1.78</v>
      </c>
      <c r="U28" s="588"/>
    </row>
    <row r="29" spans="2:21" ht="20.05" customHeight="1">
      <c r="B29" s="506" t="s">
        <v>559</v>
      </c>
      <c r="C29" s="507">
        <v>0.4</v>
      </c>
      <c r="E29" s="432" t="s">
        <v>147</v>
      </c>
      <c r="F29" s="433">
        <v>9.9499999999999993</v>
      </c>
      <c r="G29" s="411"/>
      <c r="H29" s="446" t="s">
        <v>265</v>
      </c>
      <c r="I29" s="454">
        <v>2.0499999999999998</v>
      </c>
      <c r="J29" s="443">
        <f t="shared" si="0"/>
        <v>0.15</v>
      </c>
      <c r="K29" s="418"/>
      <c r="L29" s="470" t="s">
        <v>361</v>
      </c>
      <c r="M29" s="471"/>
      <c r="N29" s="476"/>
      <c r="O29" s="473">
        <v>3.95</v>
      </c>
      <c r="P29" s="409"/>
      <c r="Q29" s="589" t="s">
        <v>743</v>
      </c>
      <c r="R29" s="587"/>
      <c r="S29" s="587"/>
      <c r="T29" s="582">
        <v>1.78</v>
      </c>
      <c r="U29" s="588"/>
    </row>
    <row r="30" spans="2:21" ht="20.05" customHeight="1">
      <c r="B30" s="506" t="s">
        <v>560</v>
      </c>
      <c r="C30" s="507">
        <v>0.55000000000000004</v>
      </c>
      <c r="E30" s="432" t="s">
        <v>148</v>
      </c>
      <c r="F30" s="433">
        <v>9.9499999999999993</v>
      </c>
      <c r="G30" s="411"/>
      <c r="H30" s="446" t="s">
        <v>266</v>
      </c>
      <c r="I30" s="454">
        <v>2.0499999999999998</v>
      </c>
      <c r="J30" s="443">
        <f t="shared" si="0"/>
        <v>0.15</v>
      </c>
      <c r="K30" s="418"/>
      <c r="L30" s="470" t="s">
        <v>362</v>
      </c>
      <c r="M30" s="471"/>
      <c r="N30" s="476"/>
      <c r="O30" s="473">
        <v>3.95</v>
      </c>
      <c r="P30" s="409"/>
      <c r="Q30" s="589" t="s">
        <v>744</v>
      </c>
      <c r="R30" s="587"/>
      <c r="S30" s="587"/>
      <c r="T30" s="582">
        <v>1.78</v>
      </c>
      <c r="U30" s="588"/>
    </row>
    <row r="31" spans="2:21" ht="20.05" customHeight="1">
      <c r="B31" s="506" t="s">
        <v>463</v>
      </c>
      <c r="C31" s="507">
        <v>45</v>
      </c>
      <c r="E31" s="432" t="s">
        <v>479</v>
      </c>
      <c r="F31" s="433">
        <v>8.4499999999999993</v>
      </c>
      <c r="G31" s="411"/>
      <c r="H31" s="446" t="s">
        <v>267</v>
      </c>
      <c r="I31" s="454">
        <v>2.6</v>
      </c>
      <c r="J31" s="443">
        <f t="shared" si="0"/>
        <v>0.15</v>
      </c>
      <c r="K31" s="418"/>
      <c r="L31" s="470" t="s">
        <v>366</v>
      </c>
      <c r="M31" s="471"/>
      <c r="N31" s="476"/>
      <c r="O31" s="473">
        <v>3.5</v>
      </c>
      <c r="P31" s="409"/>
      <c r="Q31" s="589" t="s">
        <v>745</v>
      </c>
      <c r="R31" s="587"/>
      <c r="S31" s="587"/>
      <c r="T31" s="582">
        <v>1.78</v>
      </c>
      <c r="U31" s="588"/>
    </row>
    <row r="32" spans="2:21" ht="20.05" customHeight="1">
      <c r="B32" s="506" t="s">
        <v>464</v>
      </c>
      <c r="C32" s="507">
        <v>69</v>
      </c>
      <c r="E32" s="432" t="s">
        <v>480</v>
      </c>
      <c r="F32" s="433">
        <v>8.4499999999999993</v>
      </c>
      <c r="G32" s="411"/>
      <c r="H32" s="446" t="s">
        <v>268</v>
      </c>
      <c r="I32" s="454">
        <v>2.0499999999999998</v>
      </c>
      <c r="J32" s="443">
        <f t="shared" si="0"/>
        <v>0.15</v>
      </c>
      <c r="K32" s="418"/>
      <c r="L32" s="470" t="s">
        <v>518</v>
      </c>
      <c r="M32" s="471"/>
      <c r="N32" s="476"/>
      <c r="O32" s="473">
        <v>3.95</v>
      </c>
      <c r="P32" s="409"/>
      <c r="Q32" s="589" t="s">
        <v>746</v>
      </c>
      <c r="R32" s="587"/>
      <c r="S32" s="587"/>
      <c r="T32" s="582">
        <v>1.78</v>
      </c>
      <c r="U32" s="588"/>
    </row>
    <row r="33" spans="2:21" ht="20.05" customHeight="1">
      <c r="B33" s="506" t="s">
        <v>561</v>
      </c>
      <c r="C33" s="507">
        <v>32.5</v>
      </c>
      <c r="E33" s="432" t="s">
        <v>481</v>
      </c>
      <c r="F33" s="433">
        <v>8.4499999999999993</v>
      </c>
      <c r="G33" s="411"/>
      <c r="H33" s="442" t="s">
        <v>274</v>
      </c>
      <c r="I33" s="454">
        <v>2.6</v>
      </c>
      <c r="J33" s="443">
        <f t="shared" si="0"/>
        <v>0.15</v>
      </c>
      <c r="K33" s="418"/>
      <c r="L33" s="477"/>
      <c r="M33" s="478"/>
      <c r="N33" s="479"/>
      <c r="O33" s="480"/>
      <c r="P33" s="409"/>
      <c r="Q33" s="589" t="s">
        <v>747</v>
      </c>
      <c r="R33" s="587"/>
      <c r="S33" s="587"/>
      <c r="T33" s="582">
        <v>1.78</v>
      </c>
      <c r="U33" s="588"/>
    </row>
    <row r="34" spans="2:21" ht="20.05" customHeight="1" thickBot="1">
      <c r="B34" s="506" t="s">
        <v>562</v>
      </c>
      <c r="C34" s="507">
        <v>40.950000000000003</v>
      </c>
      <c r="E34" s="432" t="s">
        <v>149</v>
      </c>
      <c r="F34" s="433">
        <v>8.4499999999999993</v>
      </c>
      <c r="G34" s="411"/>
      <c r="H34" s="442" t="s">
        <v>275</v>
      </c>
      <c r="I34" s="454">
        <v>2.6</v>
      </c>
      <c r="J34" s="443">
        <f t="shared" si="0"/>
        <v>0.15</v>
      </c>
      <c r="K34" s="418"/>
      <c r="L34" s="470" t="s">
        <v>228</v>
      </c>
      <c r="M34" s="481"/>
      <c r="N34" s="479"/>
      <c r="O34" s="482">
        <v>1.55</v>
      </c>
      <c r="P34" s="409"/>
      <c r="Q34" s="793" t="s">
        <v>748</v>
      </c>
      <c r="R34" s="592"/>
      <c r="S34" s="592"/>
      <c r="T34" s="794">
        <v>1.78</v>
      </c>
      <c r="U34" s="593"/>
    </row>
    <row r="35" spans="2:21" ht="20.05" customHeight="1">
      <c r="B35" s="506" t="s">
        <v>563</v>
      </c>
      <c r="C35" s="507">
        <v>22.95</v>
      </c>
      <c r="E35" s="432" t="s">
        <v>482</v>
      </c>
      <c r="F35" s="433">
        <v>9.4499999999999993</v>
      </c>
      <c r="G35" s="411"/>
      <c r="H35" s="442" t="s">
        <v>271</v>
      </c>
      <c r="I35" s="454">
        <v>8.9499999999999993</v>
      </c>
      <c r="J35" s="452" t="s">
        <v>610</v>
      </c>
      <c r="K35" s="418"/>
      <c r="L35" s="470" t="s">
        <v>355</v>
      </c>
      <c r="M35" s="481"/>
      <c r="N35" s="479"/>
      <c r="O35" s="482">
        <v>1.45</v>
      </c>
      <c r="P35" s="409"/>
      <c r="Q35" s="586"/>
      <c r="R35" s="587"/>
      <c r="S35" s="587"/>
      <c r="T35" s="587"/>
      <c r="U35" s="588"/>
    </row>
    <row r="36" spans="2:21" ht="20.05" customHeight="1">
      <c r="B36" s="506" t="s">
        <v>564</v>
      </c>
      <c r="C36" s="507">
        <v>5.5</v>
      </c>
      <c r="E36" s="432" t="s">
        <v>150</v>
      </c>
      <c r="F36" s="433">
        <v>8.4499999999999993</v>
      </c>
      <c r="G36" s="411"/>
      <c r="H36" s="442" t="s">
        <v>273</v>
      </c>
      <c r="I36" s="454">
        <v>8.9499999999999993</v>
      </c>
      <c r="J36" s="452" t="s">
        <v>610</v>
      </c>
      <c r="K36" s="418"/>
      <c r="L36" s="470" t="s">
        <v>357</v>
      </c>
      <c r="M36" s="481"/>
      <c r="N36" s="479"/>
      <c r="O36" s="482">
        <v>1.45</v>
      </c>
      <c r="P36" s="409"/>
      <c r="Q36" s="589" t="s">
        <v>778</v>
      </c>
      <c r="R36" s="587"/>
      <c r="S36" s="587"/>
      <c r="T36" s="590">
        <v>0.15</v>
      </c>
      <c r="U36" s="588"/>
    </row>
    <row r="37" spans="2:21" ht="20.05" customHeight="1">
      <c r="B37" s="506" t="s">
        <v>566</v>
      </c>
      <c r="C37" s="507">
        <v>5.5</v>
      </c>
      <c r="E37" s="432" t="s">
        <v>483</v>
      </c>
      <c r="F37" s="433">
        <v>8.4499999999999993</v>
      </c>
      <c r="G37" s="411"/>
      <c r="H37" s="442" t="s">
        <v>272</v>
      </c>
      <c r="I37" s="454">
        <v>8.9499999999999993</v>
      </c>
      <c r="J37" s="452" t="s">
        <v>610</v>
      </c>
      <c r="K37" s="418"/>
      <c r="L37" s="470" t="s">
        <v>358</v>
      </c>
      <c r="M37" s="481"/>
      <c r="N37" s="479"/>
      <c r="O37" s="482">
        <v>1.45</v>
      </c>
      <c r="P37" s="409"/>
      <c r="Q37" s="589" t="s">
        <v>779</v>
      </c>
      <c r="R37" s="587"/>
      <c r="S37" s="587"/>
      <c r="T37" s="590">
        <v>0.05</v>
      </c>
      <c r="U37" s="588"/>
    </row>
    <row r="38" spans="2:21" ht="20.05" customHeight="1">
      <c r="B38" s="506" t="s">
        <v>568</v>
      </c>
      <c r="C38" s="507">
        <v>5.5</v>
      </c>
      <c r="E38" s="432" t="s">
        <v>151</v>
      </c>
      <c r="F38" s="433">
        <v>8.4499999999999993</v>
      </c>
      <c r="G38" s="411"/>
      <c r="H38" s="442"/>
      <c r="I38" s="451"/>
      <c r="J38" s="443"/>
      <c r="L38" s="470"/>
      <c r="M38" s="481"/>
      <c r="N38" s="466"/>
      <c r="O38" s="482"/>
      <c r="Q38" s="589" t="s">
        <v>749</v>
      </c>
      <c r="R38" s="587"/>
      <c r="S38" s="587"/>
      <c r="T38" s="590">
        <v>0.1</v>
      </c>
      <c r="U38" s="588"/>
    </row>
    <row r="39" spans="2:21" ht="20.05" customHeight="1">
      <c r="B39" s="506" t="s">
        <v>565</v>
      </c>
      <c r="C39" s="507">
        <v>5.9</v>
      </c>
      <c r="E39" s="432" t="s">
        <v>477</v>
      </c>
      <c r="F39" s="433">
        <v>10.45</v>
      </c>
      <c r="G39" s="411"/>
      <c r="H39" s="442" t="s">
        <v>611</v>
      </c>
      <c r="I39" s="451">
        <v>0.15</v>
      </c>
      <c r="J39" s="443"/>
      <c r="L39" s="470" t="s">
        <v>359</v>
      </c>
      <c r="M39" s="481"/>
      <c r="N39" s="466"/>
      <c r="O39" s="482">
        <v>1.55</v>
      </c>
      <c r="Q39" s="589" t="s">
        <v>750</v>
      </c>
      <c r="R39" s="587"/>
      <c r="S39" s="587"/>
      <c r="T39" s="590">
        <v>0.33</v>
      </c>
      <c r="U39" s="588"/>
    </row>
    <row r="40" spans="2:21" ht="20.05" customHeight="1">
      <c r="B40" s="506" t="s">
        <v>567</v>
      </c>
      <c r="C40" s="507">
        <v>5.9</v>
      </c>
      <c r="E40" s="432" t="s">
        <v>478</v>
      </c>
      <c r="F40" s="433">
        <v>10.45</v>
      </c>
      <c r="G40" s="411"/>
      <c r="H40" s="594" t="s">
        <v>759</v>
      </c>
      <c r="I40" s="451"/>
      <c r="J40" s="443"/>
      <c r="L40" s="470" t="s">
        <v>675</v>
      </c>
      <c r="M40" s="481"/>
      <c r="N40" s="466"/>
      <c r="O40" s="482">
        <v>1.45</v>
      </c>
      <c r="Q40" s="589" t="s">
        <v>751</v>
      </c>
      <c r="R40" s="587"/>
      <c r="S40" s="587"/>
      <c r="T40" s="590">
        <v>0.43</v>
      </c>
      <c r="U40" s="588"/>
    </row>
    <row r="41" spans="2:21" ht="20.05" customHeight="1">
      <c r="B41" s="506" t="s">
        <v>569</v>
      </c>
      <c r="C41" s="507">
        <v>5.9</v>
      </c>
      <c r="E41" s="432" t="s">
        <v>152</v>
      </c>
      <c r="F41" s="433">
        <v>10.45</v>
      </c>
      <c r="G41" s="411"/>
      <c r="H41" s="446" t="s">
        <v>469</v>
      </c>
      <c r="I41" s="454">
        <v>1.95</v>
      </c>
      <c r="J41" s="452"/>
      <c r="L41" s="470" t="s">
        <v>676</v>
      </c>
      <c r="M41" s="481"/>
      <c r="N41" s="466"/>
      <c r="O41" s="482">
        <v>1.85</v>
      </c>
      <c r="Q41" s="589" t="s">
        <v>752</v>
      </c>
      <c r="R41" s="587"/>
      <c r="S41" s="587"/>
      <c r="T41" s="590">
        <v>0.05</v>
      </c>
      <c r="U41" s="588"/>
    </row>
    <row r="42" spans="2:21" ht="20.05" customHeight="1">
      <c r="B42" s="506" t="s">
        <v>570</v>
      </c>
      <c r="C42" s="507">
        <v>3.95</v>
      </c>
      <c r="E42" s="434"/>
      <c r="F42" s="435"/>
      <c r="H42" s="446" t="s">
        <v>470</v>
      </c>
      <c r="I42" s="454">
        <v>1.95</v>
      </c>
      <c r="J42" s="452"/>
      <c r="L42" s="470" t="s">
        <v>371</v>
      </c>
      <c r="M42" s="481"/>
      <c r="N42" s="466"/>
      <c r="O42" s="482">
        <v>1.45</v>
      </c>
      <c r="Q42" s="589" t="s">
        <v>753</v>
      </c>
      <c r="R42" s="587"/>
      <c r="S42" s="587"/>
      <c r="T42" s="590">
        <v>0.15</v>
      </c>
      <c r="U42" s="588"/>
    </row>
    <row r="43" spans="2:21" ht="20.05" customHeight="1">
      <c r="B43" s="506" t="s">
        <v>572</v>
      </c>
      <c r="C43" s="507">
        <v>4.9000000000000004</v>
      </c>
      <c r="E43" s="436" t="s">
        <v>590</v>
      </c>
      <c r="F43" s="433">
        <v>37.950000000000003</v>
      </c>
      <c r="H43" s="446" t="s">
        <v>465</v>
      </c>
      <c r="I43" s="454">
        <v>1.95</v>
      </c>
      <c r="J43" s="452"/>
      <c r="L43" s="470" t="s">
        <v>399</v>
      </c>
      <c r="M43" s="481"/>
      <c r="N43" s="466"/>
      <c r="O43" s="482">
        <v>1.45</v>
      </c>
      <c r="Q43" s="589" t="s">
        <v>754</v>
      </c>
      <c r="R43" s="587"/>
      <c r="S43" s="587"/>
      <c r="T43" s="590">
        <v>0.65</v>
      </c>
      <c r="U43" s="588"/>
    </row>
    <row r="44" spans="2:21" ht="20.05" customHeight="1">
      <c r="B44" s="506" t="s">
        <v>571</v>
      </c>
      <c r="C44" s="507">
        <v>3.95</v>
      </c>
      <c r="E44" s="434"/>
      <c r="F44" s="435"/>
      <c r="H44" s="447" t="s">
        <v>286</v>
      </c>
      <c r="I44" s="456">
        <v>15.5</v>
      </c>
      <c r="J44" s="457"/>
      <c r="L44" s="470" t="s">
        <v>400</v>
      </c>
      <c r="M44" s="481"/>
      <c r="N44" s="466"/>
      <c r="O44" s="482">
        <v>1.45</v>
      </c>
      <c r="Q44" s="589" t="s">
        <v>755</v>
      </c>
      <c r="R44" s="587"/>
      <c r="S44" s="587"/>
      <c r="T44" s="590">
        <v>0.18</v>
      </c>
      <c r="U44" s="588"/>
    </row>
    <row r="45" spans="2:21" ht="20.05" customHeight="1">
      <c r="B45" s="506" t="s">
        <v>573</v>
      </c>
      <c r="C45" s="507">
        <v>3.95</v>
      </c>
      <c r="E45" s="432" t="s">
        <v>495</v>
      </c>
      <c r="F45" s="433">
        <v>50.5</v>
      </c>
      <c r="G45" s="411"/>
      <c r="H45" s="447" t="s">
        <v>471</v>
      </c>
      <c r="I45" s="456">
        <v>37.799999999999997</v>
      </c>
      <c r="J45" s="457"/>
      <c r="L45" s="483"/>
      <c r="M45" s="481"/>
      <c r="N45" s="466"/>
      <c r="O45" s="484"/>
      <c r="Q45" s="589" t="s">
        <v>16</v>
      </c>
      <c r="R45" s="587"/>
      <c r="S45" s="587"/>
      <c r="T45" s="590">
        <v>0.35</v>
      </c>
      <c r="U45" s="588"/>
    </row>
    <row r="46" spans="2:21" ht="20.05" customHeight="1">
      <c r="B46" s="506" t="s">
        <v>574</v>
      </c>
      <c r="C46" s="507">
        <v>3.95</v>
      </c>
      <c r="E46" s="432" t="s">
        <v>496</v>
      </c>
      <c r="F46" s="433">
        <v>52.5</v>
      </c>
      <c r="G46" s="411"/>
      <c r="H46" s="442" t="s">
        <v>285</v>
      </c>
      <c r="I46" s="454">
        <v>34.799999999999997</v>
      </c>
      <c r="J46" s="452"/>
      <c r="L46" s="483"/>
      <c r="M46" s="485"/>
      <c r="N46" s="466"/>
      <c r="O46" s="484"/>
      <c r="Q46" s="586"/>
      <c r="R46" s="587"/>
      <c r="S46" s="587"/>
      <c r="T46" s="590"/>
      <c r="U46" s="588"/>
    </row>
    <row r="47" spans="2:21" ht="20.05" customHeight="1">
      <c r="B47" s="506" t="s">
        <v>575</v>
      </c>
      <c r="C47" s="507">
        <v>3.95</v>
      </c>
      <c r="E47" s="432" t="s">
        <v>497</v>
      </c>
      <c r="F47" s="433">
        <v>57.5</v>
      </c>
      <c r="G47" s="411"/>
      <c r="H47" s="442" t="s">
        <v>515</v>
      </c>
      <c r="I47" s="451">
        <v>31.5</v>
      </c>
      <c r="J47" s="452"/>
      <c r="L47" s="483"/>
      <c r="M47" s="485"/>
      <c r="N47" s="466"/>
      <c r="O47" s="484"/>
      <c r="Q47" s="586"/>
      <c r="R47" s="587"/>
      <c r="S47" s="587"/>
      <c r="T47" s="590"/>
      <c r="U47" s="588"/>
    </row>
    <row r="48" spans="2:21" ht="20.05" customHeight="1">
      <c r="B48" s="506" t="s">
        <v>576</v>
      </c>
      <c r="C48" s="507">
        <v>3.95</v>
      </c>
      <c r="E48" s="432" t="s">
        <v>498</v>
      </c>
      <c r="F48" s="433">
        <v>50.5</v>
      </c>
      <c r="G48" s="411"/>
      <c r="H48" s="442"/>
      <c r="I48" s="451"/>
      <c r="J48" s="452"/>
      <c r="L48" s="483"/>
      <c r="M48" s="485"/>
      <c r="N48" s="466"/>
      <c r="O48" s="484"/>
      <c r="Q48" s="586"/>
      <c r="R48" s="587"/>
      <c r="S48" s="587"/>
      <c r="T48" s="590"/>
      <c r="U48" s="588"/>
    </row>
    <row r="49" spans="2:21" ht="20.05" customHeight="1">
      <c r="B49" s="506" t="s">
        <v>577</v>
      </c>
      <c r="C49" s="507">
        <v>50</v>
      </c>
      <c r="E49" s="432" t="s">
        <v>499</v>
      </c>
      <c r="F49" s="433">
        <v>52.5</v>
      </c>
      <c r="G49" s="411"/>
      <c r="H49" s="442" t="s">
        <v>600</v>
      </c>
      <c r="I49" s="451">
        <v>3.5</v>
      </c>
      <c r="J49" s="452"/>
      <c r="L49" s="483"/>
      <c r="M49" s="485"/>
      <c r="N49" s="466"/>
      <c r="O49" s="484"/>
      <c r="Q49" s="586"/>
      <c r="R49" s="587"/>
      <c r="S49" s="587"/>
      <c r="T49" s="590"/>
      <c r="U49" s="588"/>
    </row>
    <row r="50" spans="2:21" ht="20.05" customHeight="1">
      <c r="B50" s="506" t="s">
        <v>578</v>
      </c>
      <c r="C50" s="507">
        <v>75</v>
      </c>
      <c r="E50" s="432" t="s">
        <v>500</v>
      </c>
      <c r="F50" s="433">
        <v>19.95</v>
      </c>
      <c r="G50" s="411"/>
      <c r="H50" s="594" t="s">
        <v>758</v>
      </c>
      <c r="I50" s="451"/>
      <c r="J50" s="452"/>
      <c r="L50" s="483"/>
      <c r="M50" s="486"/>
      <c r="N50" s="466"/>
      <c r="O50" s="484"/>
      <c r="Q50" s="586"/>
      <c r="R50" s="587"/>
      <c r="S50" s="587"/>
      <c r="T50" s="590"/>
      <c r="U50" s="588"/>
    </row>
    <row r="51" spans="2:21" ht="20.05" customHeight="1">
      <c r="B51" s="506" t="s">
        <v>579</v>
      </c>
      <c r="C51" s="507">
        <v>100</v>
      </c>
      <c r="E51" s="432" t="s">
        <v>501</v>
      </c>
      <c r="F51" s="433">
        <v>20.95</v>
      </c>
      <c r="G51" s="411"/>
      <c r="H51" s="442" t="s">
        <v>601</v>
      </c>
      <c r="I51" s="451">
        <v>2.8</v>
      </c>
      <c r="J51" s="448"/>
      <c r="L51" s="483"/>
      <c r="M51" s="486"/>
      <c r="N51" s="466"/>
      <c r="O51" s="484"/>
      <c r="Q51" s="586"/>
      <c r="R51" s="587"/>
      <c r="S51" s="587"/>
      <c r="T51" s="590"/>
      <c r="U51" s="588"/>
    </row>
    <row r="52" spans="2:21" ht="20.05" customHeight="1">
      <c r="B52" s="506" t="s">
        <v>581</v>
      </c>
      <c r="C52" s="507">
        <v>3.5</v>
      </c>
      <c r="E52" s="432" t="s">
        <v>502</v>
      </c>
      <c r="F52" s="433">
        <v>23.5</v>
      </c>
      <c r="G52" s="411"/>
      <c r="H52" s="442" t="s">
        <v>602</v>
      </c>
      <c r="I52" s="451">
        <v>3.05</v>
      </c>
      <c r="J52" s="448"/>
      <c r="L52" s="487"/>
      <c r="M52" s="486"/>
      <c r="N52" s="466"/>
      <c r="O52" s="484"/>
      <c r="Q52" s="586"/>
      <c r="R52" s="587"/>
      <c r="S52" s="587"/>
      <c r="T52" s="590"/>
      <c r="U52" s="588"/>
    </row>
    <row r="53" spans="2:21" ht="20.05" customHeight="1">
      <c r="B53" s="506" t="s">
        <v>582</v>
      </c>
      <c r="C53" s="507">
        <v>45.35</v>
      </c>
      <c r="E53" s="432" t="s">
        <v>503</v>
      </c>
      <c r="F53" s="433">
        <v>19.95</v>
      </c>
      <c r="G53" s="411"/>
      <c r="H53" s="594" t="s">
        <v>288</v>
      </c>
      <c r="I53" s="451"/>
      <c r="J53" s="448"/>
      <c r="L53" s="487"/>
      <c r="M53" s="486"/>
      <c r="N53" s="466"/>
      <c r="O53" s="484"/>
      <c r="Q53" s="586"/>
      <c r="R53" s="587"/>
      <c r="S53" s="587"/>
      <c r="T53" s="590"/>
      <c r="U53" s="588"/>
    </row>
    <row r="54" spans="2:21" ht="20.05" customHeight="1">
      <c r="B54" s="506" t="s">
        <v>583</v>
      </c>
      <c r="C54" s="507">
        <v>45.35</v>
      </c>
      <c r="E54" s="432" t="s">
        <v>504</v>
      </c>
      <c r="F54" s="433">
        <v>20.95</v>
      </c>
      <c r="G54" s="411"/>
      <c r="H54" s="442" t="s">
        <v>509</v>
      </c>
      <c r="I54" s="458">
        <v>9.9499999999999993</v>
      </c>
      <c r="J54" s="459"/>
      <c r="L54" s="488"/>
      <c r="M54" s="486"/>
      <c r="N54" s="466"/>
      <c r="O54" s="467"/>
      <c r="Q54" s="586"/>
      <c r="R54" s="587"/>
      <c r="S54" s="587"/>
      <c r="T54" s="590"/>
      <c r="U54" s="588"/>
    </row>
    <row r="55" spans="2:21" ht="20.05" customHeight="1">
      <c r="B55" s="506" t="s">
        <v>584</v>
      </c>
      <c r="C55" s="507">
        <v>1</v>
      </c>
      <c r="E55" s="434"/>
      <c r="F55" s="435"/>
      <c r="H55" s="442" t="s">
        <v>510</v>
      </c>
      <c r="I55" s="458">
        <v>9.9499999999999993</v>
      </c>
      <c r="J55" s="459"/>
      <c r="L55" s="483" t="s">
        <v>614</v>
      </c>
      <c r="M55" s="486"/>
      <c r="N55" s="466"/>
      <c r="O55" s="484">
        <v>8.9499999999999993</v>
      </c>
      <c r="Q55" s="586"/>
      <c r="R55" s="587"/>
      <c r="S55" s="587"/>
      <c r="T55" s="587"/>
      <c r="U55" s="588"/>
    </row>
    <row r="56" spans="2:21" ht="20.05" customHeight="1">
      <c r="B56" s="506" t="s">
        <v>612</v>
      </c>
      <c r="C56" s="507">
        <v>1.35</v>
      </c>
      <c r="E56" s="432" t="s">
        <v>591</v>
      </c>
      <c r="F56" s="433">
        <v>2.2000000000000002</v>
      </c>
      <c r="G56" s="411"/>
      <c r="H56" s="442" t="s">
        <v>306</v>
      </c>
      <c r="I56" s="458">
        <v>10.95</v>
      </c>
      <c r="J56" s="459"/>
      <c r="L56" s="483" t="s">
        <v>615</v>
      </c>
      <c r="M56" s="486"/>
      <c r="N56" s="466"/>
      <c r="O56" s="484">
        <v>18.95</v>
      </c>
      <c r="Q56" s="586"/>
      <c r="R56" s="587"/>
      <c r="S56" s="587"/>
      <c r="T56" s="587"/>
      <c r="U56" s="588"/>
    </row>
    <row r="57" spans="2:21" ht="20.05" customHeight="1" thickBot="1">
      <c r="B57" s="508" t="s">
        <v>613</v>
      </c>
      <c r="C57" s="509">
        <v>2</v>
      </c>
      <c r="E57" s="432" t="s">
        <v>153</v>
      </c>
      <c r="F57" s="433">
        <v>35.200000000000003</v>
      </c>
      <c r="G57" s="411"/>
      <c r="H57" s="449" t="s">
        <v>307</v>
      </c>
      <c r="I57" s="460">
        <v>11.95</v>
      </c>
      <c r="J57" s="461"/>
      <c r="L57" s="489"/>
      <c r="M57" s="486"/>
      <c r="N57" s="466"/>
      <c r="O57" s="469"/>
      <c r="Q57" s="586"/>
      <c r="R57" s="587"/>
      <c r="S57" s="587"/>
      <c r="T57" s="587"/>
      <c r="U57" s="588"/>
    </row>
    <row r="58" spans="2:21" ht="29.35" customHeight="1" thickBot="1">
      <c r="E58" s="432" t="s">
        <v>154</v>
      </c>
      <c r="F58" s="433">
        <v>52.8</v>
      </c>
      <c r="G58" s="411"/>
      <c r="H58" s="756" t="s">
        <v>875</v>
      </c>
      <c r="I58" s="757"/>
      <c r="J58" s="758"/>
      <c r="L58" s="487" t="s">
        <v>617</v>
      </c>
      <c r="M58" s="486"/>
      <c r="N58" s="466"/>
      <c r="O58" s="484">
        <v>45</v>
      </c>
      <c r="Q58" s="586"/>
      <c r="R58" s="587"/>
      <c r="S58" s="587"/>
      <c r="T58" s="587"/>
      <c r="U58" s="588"/>
    </row>
    <row r="59" spans="2:21" ht="20.05" customHeight="1" thickBot="1">
      <c r="E59" s="432" t="s">
        <v>155</v>
      </c>
      <c r="F59" s="433">
        <v>70.400000000000006</v>
      </c>
      <c r="G59" s="411"/>
      <c r="H59" s="761" t="s">
        <v>876</v>
      </c>
      <c r="I59" s="773">
        <v>16.8</v>
      </c>
      <c r="J59" s="759"/>
      <c r="L59" s="490" t="s">
        <v>618</v>
      </c>
      <c r="M59" s="491"/>
      <c r="N59" s="491"/>
      <c r="O59" s="492">
        <v>60</v>
      </c>
      <c r="Q59" s="591"/>
      <c r="R59" s="592"/>
      <c r="S59" s="592"/>
      <c r="T59" s="592"/>
      <c r="U59" s="593"/>
    </row>
    <row r="60" spans="2:21" ht="20.05" customHeight="1">
      <c r="E60" s="432" t="s">
        <v>156</v>
      </c>
      <c r="F60" s="433">
        <v>88</v>
      </c>
      <c r="G60" s="411"/>
      <c r="H60" s="761" t="s">
        <v>877</v>
      </c>
      <c r="I60" s="773">
        <v>17.8</v>
      </c>
      <c r="J60" s="759"/>
    </row>
    <row r="61" spans="2:21" ht="20.05" customHeight="1">
      <c r="E61" s="432" t="s">
        <v>157</v>
      </c>
      <c r="F61" s="433">
        <v>105.6</v>
      </c>
      <c r="G61" s="411"/>
      <c r="H61" s="761" t="s">
        <v>878</v>
      </c>
      <c r="I61" s="773">
        <v>22</v>
      </c>
      <c r="J61" s="759"/>
      <c r="L61" s="580"/>
      <c r="M61" s="1"/>
      <c r="N61" s="1"/>
      <c r="O61" s="581"/>
    </row>
    <row r="62" spans="2:21" ht="20.05" customHeight="1">
      <c r="E62" s="432" t="s">
        <v>158</v>
      </c>
      <c r="F62" s="433">
        <v>123.2</v>
      </c>
      <c r="G62" s="411"/>
      <c r="H62" s="761" t="s">
        <v>879</v>
      </c>
      <c r="I62" s="773">
        <v>17.55</v>
      </c>
      <c r="J62" s="759"/>
      <c r="L62" s="580"/>
      <c r="M62" s="1"/>
      <c r="N62" s="1"/>
      <c r="O62" s="581"/>
    </row>
    <row r="63" spans="2:21" ht="20.05" customHeight="1">
      <c r="E63" s="432" t="s">
        <v>159</v>
      </c>
      <c r="F63" s="433">
        <v>140.80000000000001</v>
      </c>
      <c r="G63" s="411"/>
      <c r="H63" s="761" t="s">
        <v>880</v>
      </c>
      <c r="I63" s="773">
        <v>18.55</v>
      </c>
      <c r="J63" s="759"/>
      <c r="L63" s="580"/>
      <c r="M63" s="1"/>
      <c r="N63" s="1"/>
      <c r="O63" s="581"/>
    </row>
    <row r="64" spans="2:21" ht="20.05" customHeight="1">
      <c r="E64" s="432" t="s">
        <v>160</v>
      </c>
      <c r="F64" s="433">
        <v>158.4</v>
      </c>
      <c r="G64" s="411"/>
      <c r="H64" s="761" t="s">
        <v>881</v>
      </c>
      <c r="I64" s="773">
        <v>22.75</v>
      </c>
      <c r="J64" s="759"/>
      <c r="L64" s="580"/>
      <c r="M64" s="1"/>
      <c r="N64" s="1"/>
      <c r="O64" s="581"/>
    </row>
    <row r="65" spans="3:15" ht="20.05" customHeight="1">
      <c r="E65" s="432" t="s">
        <v>161</v>
      </c>
      <c r="F65" s="433">
        <v>176</v>
      </c>
      <c r="G65" s="411"/>
      <c r="H65" s="761" t="s">
        <v>882</v>
      </c>
      <c r="I65" s="762">
        <v>19.05</v>
      </c>
      <c r="J65" s="760"/>
      <c r="L65" s="580"/>
      <c r="M65" s="1"/>
      <c r="N65" s="1"/>
      <c r="O65" s="581"/>
    </row>
    <row r="66" spans="3:15" ht="20.05" customHeight="1">
      <c r="E66" s="432" t="s">
        <v>162</v>
      </c>
      <c r="F66" s="579" t="s">
        <v>163</v>
      </c>
      <c r="H66" s="769" t="s">
        <v>883</v>
      </c>
      <c r="I66" s="762">
        <v>20.05</v>
      </c>
      <c r="J66" s="760"/>
      <c r="L66" s="1"/>
      <c r="M66" s="1"/>
      <c r="N66" s="1"/>
      <c r="O66" s="1"/>
    </row>
    <row r="67" spans="3:15" ht="20.05" customHeight="1">
      <c r="E67" s="434"/>
      <c r="F67" s="435"/>
      <c r="H67" s="761" t="s">
        <v>884</v>
      </c>
      <c r="I67" s="773">
        <v>24.25</v>
      </c>
      <c r="J67" s="759"/>
      <c r="L67" s="580"/>
      <c r="M67" s="1"/>
      <c r="N67" s="1"/>
      <c r="O67" s="581"/>
    </row>
    <row r="68" spans="3:15" ht="20.05" customHeight="1">
      <c r="C68" s="408" t="s">
        <v>27</v>
      </c>
      <c r="E68" s="432" t="s">
        <v>492</v>
      </c>
      <c r="F68" s="433">
        <v>40.950000000000003</v>
      </c>
      <c r="G68" s="411"/>
      <c r="H68" s="761" t="s">
        <v>885</v>
      </c>
      <c r="I68" s="773">
        <v>20.25</v>
      </c>
      <c r="J68" s="759"/>
      <c r="L68" s="580"/>
      <c r="M68" s="1"/>
      <c r="N68" s="1"/>
      <c r="O68" s="581"/>
    </row>
    <row r="69" spans="3:15" ht="20.05" customHeight="1">
      <c r="E69" s="432" t="s">
        <v>493</v>
      </c>
      <c r="F69" s="433">
        <v>20.95</v>
      </c>
      <c r="G69" s="411"/>
      <c r="H69" s="761" t="s">
        <v>886</v>
      </c>
      <c r="I69" s="762">
        <v>21.25</v>
      </c>
      <c r="J69" s="760"/>
    </row>
    <row r="70" spans="3:15" ht="20.05" customHeight="1">
      <c r="E70" s="434"/>
      <c r="F70" s="437"/>
      <c r="H70" s="761" t="s">
        <v>887</v>
      </c>
      <c r="I70" s="762">
        <v>25.45</v>
      </c>
      <c r="J70" s="760"/>
    </row>
    <row r="71" spans="3:15" ht="20.05" customHeight="1" thickBot="1">
      <c r="E71" s="438"/>
      <c r="F71" s="439"/>
      <c r="H71" s="763"/>
      <c r="I71" s="764"/>
      <c r="J71" s="765"/>
    </row>
    <row r="72" spans="3:15" ht="26.2" customHeight="1" thickBot="1">
      <c r="H72" s="766" t="s">
        <v>762</v>
      </c>
      <c r="I72" s="767"/>
      <c r="J72" s="768"/>
    </row>
    <row r="73" spans="3:15" ht="20.05" customHeight="1">
      <c r="H73" s="769" t="s">
        <v>467</v>
      </c>
      <c r="I73" s="770">
        <v>8.9499999999999993</v>
      </c>
      <c r="J73" s="771"/>
    </row>
    <row r="74" spans="3:15" ht="20.05" customHeight="1">
      <c r="H74" s="769" t="s">
        <v>888</v>
      </c>
      <c r="I74" s="770">
        <v>11.95</v>
      </c>
      <c r="J74" s="771"/>
    </row>
    <row r="75" spans="3:15" ht="20.05" customHeight="1">
      <c r="H75" s="769" t="s">
        <v>461</v>
      </c>
      <c r="I75" s="770">
        <v>10.95</v>
      </c>
      <c r="J75" s="771"/>
    </row>
    <row r="76" spans="3:15" ht="20.05" customHeight="1">
      <c r="H76" s="769" t="s">
        <v>889</v>
      </c>
      <c r="I76" s="770">
        <v>13.95</v>
      </c>
      <c r="J76" s="771"/>
    </row>
    <row r="77" spans="3:15" ht="20.05" customHeight="1">
      <c r="H77" s="769" t="s">
        <v>890</v>
      </c>
      <c r="I77" s="770">
        <v>13.95</v>
      </c>
      <c r="J77" s="771"/>
    </row>
    <row r="78" spans="3:15" ht="20.05" customHeight="1">
      <c r="H78" s="769" t="s">
        <v>462</v>
      </c>
      <c r="I78" s="770">
        <v>12.95</v>
      </c>
      <c r="J78" s="771"/>
    </row>
    <row r="79" spans="3:15" ht="20.05" customHeight="1">
      <c r="H79" s="769" t="s">
        <v>891</v>
      </c>
      <c r="I79" s="770">
        <v>14.95</v>
      </c>
      <c r="J79" s="771"/>
    </row>
    <row r="80" spans="3:15" ht="20.05" customHeight="1">
      <c r="H80" s="769"/>
      <c r="I80" s="770"/>
      <c r="J80" s="771"/>
    </row>
    <row r="81" spans="8:10" ht="20.05" customHeight="1">
      <c r="H81" s="769"/>
      <c r="I81" s="770"/>
      <c r="J81" s="771"/>
    </row>
    <row r="82" spans="8:10" ht="20.05" customHeight="1">
      <c r="H82" s="763"/>
      <c r="I82" s="770"/>
      <c r="J82" s="771"/>
    </row>
    <row r="83" spans="8:10" ht="20.05" customHeight="1" thickBot="1">
      <c r="H83" s="772"/>
      <c r="I83" s="764"/>
      <c r="J83" s="765"/>
    </row>
    <row r="84" spans="8:10" ht="20.05" customHeight="1">
      <c r="I84" s="410"/>
    </row>
    <row r="85" spans="8:10" ht="20.05" customHeight="1">
      <c r="I85" s="410"/>
    </row>
    <row r="86" spans="8:10" ht="20.05" customHeight="1">
      <c r="I86" s="410"/>
    </row>
    <row r="87" spans="8:10" ht="20.05" customHeight="1">
      <c r="I87" s="410"/>
    </row>
    <row r="88" spans="8:10" ht="20.05" customHeight="1">
      <c r="I88" s="410"/>
    </row>
    <row r="89" spans="8:10" ht="20.05" customHeight="1">
      <c r="I89" s="410"/>
    </row>
    <row r="90" spans="8:10" ht="20.05" customHeight="1">
      <c r="I90" s="410"/>
    </row>
    <row r="91" spans="8:10" ht="20.05" customHeight="1">
      <c r="I91" s="410"/>
    </row>
    <row r="92" spans="8:10" ht="20.05" customHeight="1">
      <c r="I92" s="410"/>
    </row>
    <row r="93" spans="8:10" ht="20.05" customHeight="1">
      <c r="I93" s="410"/>
    </row>
    <row r="94" spans="8:10" ht="20.05" customHeight="1">
      <c r="I94" s="410"/>
    </row>
    <row r="95" spans="8:10" ht="20.05" customHeight="1">
      <c r="I95" s="410"/>
    </row>
    <row r="96" spans="8:10" ht="20.05" customHeight="1">
      <c r="I96" s="410"/>
    </row>
    <row r="97" spans="9:9" ht="20.05" customHeight="1">
      <c r="I97" s="410"/>
    </row>
    <row r="98" spans="9:9" ht="20.05" customHeight="1">
      <c r="I98" s="410"/>
    </row>
    <row r="99" spans="9:9" ht="20.05" customHeight="1"/>
    <row r="100" spans="9:9" ht="20.05" customHeight="1"/>
    <row r="101" spans="9:9" ht="20.05" customHeight="1"/>
    <row r="102" spans="9:9" ht="20.05" customHeight="1"/>
    <row r="103" spans="9:9" ht="20.05" customHeight="1"/>
    <row r="104" spans="9:9" ht="20.05" customHeight="1"/>
    <row r="105" spans="9:9" ht="20.05" customHeight="1"/>
    <row r="106" spans="9:9" ht="20.05" customHeight="1"/>
    <row r="107" spans="9:9" ht="20.05" customHeight="1"/>
    <row r="108" spans="9:9" ht="20.05" customHeight="1"/>
    <row r="109" spans="9:9" ht="20.05" customHeight="1"/>
    <row r="110" spans="9:9" ht="20.05" customHeight="1"/>
    <row r="111" spans="9:9" ht="20.05" customHeight="1"/>
    <row r="112" spans="9:9" ht="20.05" customHeight="1"/>
    <row r="113" ht="20.05" customHeight="1"/>
    <row r="114" ht="20.05" customHeight="1"/>
    <row r="115" ht="20.05" customHeight="1"/>
    <row r="116" ht="20.05" customHeight="1"/>
    <row r="117" ht="20.05" customHeight="1"/>
    <row r="118" ht="20.05" customHeight="1"/>
    <row r="119" ht="20.05" customHeight="1"/>
    <row r="120" ht="20.05" customHeight="1"/>
    <row r="121" ht="20.05" customHeight="1"/>
    <row r="122" ht="20.05" customHeight="1"/>
    <row r="123" ht="20.05" customHeight="1"/>
    <row r="124" ht="20.05" customHeight="1"/>
    <row r="125" ht="20.05" customHeight="1"/>
    <row r="126" ht="20.05" customHeight="1"/>
    <row r="127" ht="20.05" customHeight="1"/>
    <row r="128" ht="20.05" customHeight="1"/>
    <row r="129" ht="20.05" customHeight="1"/>
    <row r="130" ht="20.05" customHeight="1"/>
    <row r="131" ht="20.05" customHeight="1"/>
    <row r="132" ht="20.05" customHeight="1"/>
    <row r="133" ht="20.05" customHeight="1"/>
    <row r="134" ht="20.05" customHeight="1"/>
    <row r="135" ht="20.05" customHeight="1"/>
    <row r="136" ht="20.05" customHeight="1"/>
    <row r="137" ht="20.05" customHeight="1"/>
    <row r="138" ht="20.05" customHeight="1"/>
    <row r="139" ht="20.05" customHeight="1"/>
    <row r="140" ht="20.05" customHeight="1"/>
    <row r="141" ht="20.05" customHeight="1"/>
    <row r="142" ht="20.05" customHeight="1"/>
    <row r="143" ht="20.05" customHeight="1"/>
    <row r="144" ht="20.05" customHeight="1"/>
    <row r="145" ht="20.05" customHeight="1"/>
    <row r="146" ht="20.05" customHeight="1"/>
    <row r="147" ht="20.05" customHeight="1"/>
    <row r="148" ht="20.05" customHeight="1"/>
    <row r="149" ht="20.05" customHeight="1"/>
    <row r="150" ht="20.05" customHeight="1"/>
    <row r="151" ht="20.05" customHeight="1"/>
    <row r="152" ht="20.05" customHeight="1"/>
    <row r="153" ht="20.05" customHeight="1"/>
    <row r="154" ht="20.05" customHeight="1"/>
    <row r="155" ht="20.05" customHeight="1"/>
    <row r="156" ht="20.05" customHeight="1"/>
    <row r="157" ht="20.05" customHeight="1"/>
    <row r="158" ht="20.05" customHeight="1"/>
    <row r="159" ht="20.05" customHeight="1"/>
    <row r="160" ht="20.05" customHeight="1"/>
    <row r="161" ht="20.05" customHeight="1"/>
    <row r="162" ht="20.05" customHeight="1"/>
    <row r="163" ht="20.05" customHeight="1"/>
    <row r="164" ht="20.05" customHeight="1"/>
    <row r="165" ht="20.05" customHeight="1"/>
    <row r="166" ht="20.05" customHeight="1"/>
    <row r="167" ht="20.05" customHeight="1"/>
    <row r="168" ht="20.05" customHeight="1"/>
    <row r="169" ht="20.05" customHeight="1"/>
    <row r="170" ht="20.05" customHeight="1"/>
    <row r="171" ht="20.05" customHeight="1"/>
    <row r="172" ht="20.05" customHeight="1"/>
    <row r="173" ht="20.05" customHeight="1"/>
    <row r="174" ht="20.05" customHeight="1"/>
    <row r="175" ht="20.05" customHeight="1"/>
    <row r="176" ht="20.05" customHeight="1"/>
    <row r="177" ht="20.05" customHeight="1"/>
    <row r="178" ht="20.05" customHeight="1"/>
    <row r="179" ht="20.05" customHeight="1"/>
    <row r="180" ht="20.05" customHeight="1"/>
    <row r="181" ht="20.05" customHeight="1"/>
    <row r="182" ht="20.05" customHeight="1"/>
    <row r="183" ht="20.05" customHeight="1"/>
    <row r="184" ht="20.05" customHeight="1"/>
    <row r="185" ht="20.05" customHeight="1"/>
    <row r="186" ht="20.05" customHeight="1"/>
    <row r="187" ht="20.05" customHeight="1"/>
    <row r="188" ht="20.05" customHeight="1"/>
    <row r="189" ht="20.05" customHeight="1"/>
    <row r="190" ht="20.05" customHeight="1"/>
    <row r="191" ht="20.05" customHeight="1"/>
    <row r="192" ht="20.05" customHeight="1"/>
    <row r="193" ht="20.05" customHeight="1"/>
    <row r="194" ht="20.05" customHeight="1"/>
    <row r="195" ht="20.05" customHeight="1"/>
    <row r="196" ht="20.05" customHeight="1"/>
    <row r="197" ht="20.05" customHeight="1"/>
    <row r="198" ht="20.05" customHeight="1"/>
    <row r="199" ht="20.05" customHeight="1"/>
    <row r="200" ht="20.05" customHeight="1"/>
    <row r="201" ht="20.05" customHeight="1"/>
    <row r="202" ht="20.05" customHeight="1"/>
    <row r="203" ht="20.05" customHeight="1"/>
    <row r="204" ht="20.05" customHeight="1"/>
    <row r="205" ht="20.05" customHeight="1"/>
    <row r="206" ht="20.05" customHeight="1"/>
    <row r="207" ht="20.05" customHeight="1"/>
    <row r="208" ht="20.05" customHeight="1"/>
    <row r="209" ht="20.05" customHeight="1"/>
    <row r="210" ht="20.05" customHeight="1"/>
    <row r="211" ht="20.05" customHeight="1"/>
    <row r="212" ht="20.05" customHeight="1"/>
    <row r="213" ht="20.05" customHeight="1"/>
    <row r="214" ht="20.05" customHeight="1"/>
    <row r="215" ht="20.05" customHeight="1"/>
    <row r="216" ht="20.05" customHeight="1"/>
  </sheetData>
  <mergeCells count="1">
    <mergeCell ref="C1:G1"/>
  </mergeCells>
  <dataValidations disablePrompts="1" count="1">
    <dataValidation type="list" allowBlank="1" showInputMessage="1" showErrorMessage="1" sqref="L31" xr:uid="{00000000-0002-0000-1700-000000000000}">
      <formula1>Aantal</formula1>
    </dataValidation>
  </dataValidations>
  <pageMargins left="0.7" right="0.7" top="0.75" bottom="0.75" header="0.3" footer="0.3"/>
  <pageSetup paperSize="9" orientation="portrait" horizontalDpi="4294967293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t 1 5 s X D q b E h m k A A A A 9 g A A A B I A H A B D b 2 5 m a W c v U G F j a 2 F n Z S 5 4 b W w g o h g A K K A U A A A A A A A A A A A A A A A A A A A A A A A A A A A A h Y 9 N D o I w G E S v Q r q n P x A T Q k p Z u A V j Y m L c N q V C I 3 w Y W i x 3 c + G R v I I Y R d 2 5 n D d v M X O / 3 n g + d W 1 w 0 Y M 1 P W S I Y Y o C D a q v D N Q Z G t 0 x T F A u + F a q k 6 x 1 M M t g 0 8 l W G W q c O 6 e E e O + x j 3 E / 1 C S i l J F D W e x U o z u J P r L 5 L 4 c G r J O g N B J 8 / x o j I s x W D M d R g i k n C + S l g a 8 Q z X u f 7 Q / k 6 7 F 1 4 6 A F t O G m 4 G S J n L w / i A d Q S w M E F A A C A A g A t 1 5 s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d e b F w o i k e 4 D g A A A B E A A A A T A B w A R m 9 y b X V s Y X M v U 2 V j d G l v b j E u b S C i G A A o o B Q A A A A A A A A A A A A A A A A A A A A A A A A A A A A r T k 0 u y c z P U w i G 0 I b W A F B L A Q I t A B Q A A g A I A L d e b F w 6 m x I Z p A A A A P Y A A A A S A A A A A A A A A A A A A A A A A A A A A A B D b 2 5 m a W c v U G F j a 2 F n Z S 5 4 b W x Q S w E C L Q A U A A I A C A C 3 X m x c D 8 r p q 6 Q A A A D p A A A A E w A A A A A A A A A A A A A A A A D w A A A A W 0 N v b n R l b n R f V H l w Z X N d L n h t b F B L A Q I t A B Q A A g A I A L d e b F w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o Z B c C t 1 D 4 Q Y V v l f h T d P g N A A A A A A I A A A A A A B B m A A A A A Q A A I A A A A I u R h 7 n E t Q c l 7 D G R e l Q Y Y M X U W X N x H 2 U F o e 0 5 D T L 9 g 2 b L A A A A A A 6 A A A A A A g A A I A A A A N 6 A g k 9 f K 9 z y e t F C L r J 1 R + V r F 2 q e 8 y j / j L i l c t 4 U S u a 2 U A A A A N C X y T t j Q U j 4 M i T K z 5 I 2 I k e P y Z 4 f E Y r X K H G i J x B k D 0 A u S C K b K t 8 S H + C G Y D d m G D 4 x U s X Y P c Q I F 3 g q Q f n Z b D u S G c r 5 z c B g l Y u T m l s A P s H B 2 H r n Q A A A A N H 5 d y e l z y 7 c J 1 W Y a o S f 1 t y 0 2 a 8 y C N / x i t u i W f j V y v N O O 8 7 k F v M Z 6 6 x 5 H k B T 6 2 O z y 0 Y E H U I u 5 q O R M 2 q c l 3 P w P D w = < / D a t a M a s h u p > 
</file>

<file path=customXml/itemProps1.xml><?xml version="1.0" encoding="utf-8"?>
<ds:datastoreItem xmlns:ds="http://schemas.openxmlformats.org/officeDocument/2006/customXml" ds:itemID="{7C2DE536-A6E0-4613-BECA-92C38B20FD9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9</vt:i4>
      </vt:variant>
    </vt:vector>
  </HeadingPairs>
  <TitlesOfParts>
    <vt:vector size="17" baseType="lpstr">
      <vt:lpstr>START</vt:lpstr>
      <vt:lpstr>STAP 1 - BESTELGEGEVENS</vt:lpstr>
      <vt:lpstr>STAP 2 - BESTELKEUZE</vt:lpstr>
      <vt:lpstr>CATERINGBESTELLING</vt:lpstr>
      <vt:lpstr>BBQ-GOURMET BESTELLING</vt:lpstr>
      <vt:lpstr>OVERIG</vt:lpstr>
      <vt:lpstr>VERSTUREN</vt:lpstr>
      <vt:lpstr>PRIJZEN</vt:lpstr>
      <vt:lpstr>Aantalpersonen</vt:lpstr>
      <vt:lpstr>'BBQ-GOURMET BESTELLING'!Afdrukbereik</vt:lpstr>
      <vt:lpstr>CATERINGBESTELLING!Afdrukbereik</vt:lpstr>
      <vt:lpstr>OVERIG!Afdrukbereik</vt:lpstr>
      <vt:lpstr>'STAP 1 - BESTELGEGEVENS'!Afdrukbereik</vt:lpstr>
      <vt:lpstr>'STAP 2 - BESTELKEUZE'!Afdrukbereik</vt:lpstr>
      <vt:lpstr>START!Afdrukbereik</vt:lpstr>
      <vt:lpstr>VERSTUREN!Afdrukbereik</vt:lpstr>
      <vt:lpstr>Vleessoorten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VOLTA</dc:creator>
  <cp:lastModifiedBy>info@voltafood.nl</cp:lastModifiedBy>
  <cp:lastPrinted>2026-02-21T09:45:02Z</cp:lastPrinted>
  <dcterms:created xsi:type="dcterms:W3CDTF">2019-10-29T09:35:00Z</dcterms:created>
  <dcterms:modified xsi:type="dcterms:W3CDTF">2026-03-12T11:19:32Z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1033-10.2.0.5838</vt:lpwstr>
  </property>
</Properties>
</file>